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4.xml" ContentType="application/vnd.openxmlformats-officedocument.spreadsheetml.comments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comments10.xml" ContentType="application/vnd.openxmlformats-officedocument.spreadsheetml.comment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8.xml" ContentType="application/vnd.openxmlformats-officedocument.spreadsheetml.externalLink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omments7.xml" ContentType="application/vnd.openxmlformats-officedocument.spreadsheetml.comments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externalLinks/externalLink1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omments6.xml" ContentType="application/vnd.openxmlformats-officedocument.spreadsheetml.comments+xml"/>
  <Default Extension="rels" ContentType="application/vnd.openxmlformats-package.relationships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1940" windowHeight="6375" tabRatio="753" firstSheet="9" activeTab="36"/>
  </bookViews>
  <sheets>
    <sheet name="New employee projec" sheetId="118" state="hidden" r:id="rId1"/>
    <sheet name="New recruitment Status" sheetId="117" state="hidden" r:id="rId2"/>
    <sheet name="combined" sheetId="103" state="hidden" r:id="rId3"/>
    <sheet name="Transmission" sheetId="121" state="hidden" r:id="rId4"/>
    <sheet name="Index" sheetId="48" state="hidden" r:id="rId5"/>
    <sheet name="transmission Charges" sheetId="44" state="hidden" r:id="rId6"/>
    <sheet name="Control Sheet" sheetId="111" state="hidden" r:id="rId7"/>
    <sheet name="CB&amp;R" sheetId="27" state="hidden" r:id="rId8"/>
    <sheet name="Capex Summary sheet" sheetId="93" state="hidden" r:id="rId9"/>
    <sheet name="ARR" sheetId="130" r:id="rId10"/>
    <sheet name="ARR (SLDC)" sheetId="97" state="hidden" r:id="rId11"/>
    <sheet name="F1SLDC" sheetId="144" r:id="rId12"/>
    <sheet name="F15 SLDC" sheetId="145" r:id="rId13"/>
    <sheet name="F1R" sheetId="135" r:id="rId14"/>
    <sheet name="F1" sheetId="1" state="hidden" r:id="rId15"/>
    <sheet name="F1(a)" sheetId="90" state="hidden" r:id="rId16"/>
    <sheet name="F4" sheetId="6" state="hidden" r:id="rId17"/>
    <sheet name="F5" sheetId="7" state="hidden" r:id="rId18"/>
    <sheet name="F8" sheetId="20" state="hidden" r:id="rId19"/>
    <sheet name="F9R" sheetId="136" r:id="rId20"/>
    <sheet name="F9" sheetId="50" state="hidden" r:id="rId21"/>
    <sheet name="F11" sheetId="30" state="hidden" r:id="rId22"/>
    <sheet name="F12 " sheetId="119" state="hidden" r:id="rId23"/>
    <sheet name="F14" sheetId="23" state="hidden" r:id="rId24"/>
    <sheet name="F15" sheetId="31" state="hidden" r:id="rId25"/>
    <sheet name="F15R" sheetId="137" r:id="rId26"/>
    <sheet name="F16 R" sheetId="138" r:id="rId27"/>
    <sheet name="F16" sheetId="38" state="hidden" r:id="rId28"/>
    <sheet name="F17" sheetId="113" state="hidden" r:id="rId29"/>
    <sheet name="F18" sheetId="114" state="hidden" r:id="rId30"/>
    <sheet name="F19" sheetId="115" state="hidden" r:id="rId31"/>
    <sheet name="F20" sheetId="143" state="hidden" r:id="rId32"/>
    <sheet name="F20 R" sheetId="35" r:id="rId33"/>
    <sheet name="F21" sheetId="54" state="hidden" r:id="rId34"/>
    <sheet name="F21 R" sheetId="140" r:id="rId35"/>
    <sheet name="F21 detailed" sheetId="112" state="hidden" r:id="rId36"/>
    <sheet name="F21 detailed R" sheetId="141" r:id="rId37"/>
    <sheet name="F22" sheetId="47" state="hidden" r:id="rId38"/>
    <sheet name="F23" sheetId="57" state="hidden" r:id="rId39"/>
    <sheet name="F24" sheetId="58" state="hidden" r:id="rId40"/>
    <sheet name="F24 R" sheetId="142" r:id="rId41"/>
    <sheet name="Funding Pattern" sheetId="92" state="hidden" r:id="rId42"/>
    <sheet name="Data_TL_consolidated" sheetId="94" state="hidden" r:id="rId43"/>
    <sheet name="Revised data_Sub-stations" sheetId="82" state="hidden" r:id="rId44"/>
    <sheet name="Backup data" sheetId="99" state="hidden" r:id="rId45"/>
    <sheet name="Tx. Charges" sheetId="95" state="hidden" r:id="rId46"/>
    <sheet name="TransmissionLines-Addition" sheetId="91" state="hidden" r:id="rId47"/>
    <sheet name="F10" sheetId="5" state="hidden" r:id="rId48"/>
    <sheet name="O &amp; M Expenses" sheetId="79" state="hidden" r:id="rId49"/>
    <sheet name="19.11.2011 data Trns.ines" sheetId="96" state="hidden" r:id="rId50"/>
    <sheet name="F9_data_A &amp; R" sheetId="67" state="hidden" r:id="rId51"/>
    <sheet name="Data_TL" sheetId="68" state="hidden" r:id="rId52"/>
    <sheet name="TL_FY11" sheetId="89" state="hidden" r:id="rId53"/>
    <sheet name="Data_ Substations" sheetId="69" state="hidden" r:id="rId54"/>
    <sheet name="FY 17_Circuit KM_data_TL" sheetId="64" state="hidden" r:id="rId55"/>
    <sheet name="F18_data_revised_SS" sheetId="80" state="hidden" r:id="rId56"/>
    <sheet name="Commissioning Details" sheetId="88" state="hidden" r:id="rId57"/>
    <sheet name="F18_data_P &amp; M" sheetId="60" state="hidden" r:id="rId58"/>
    <sheet name="F19_data_revised_SS" sheetId="81" state="hidden" r:id="rId59"/>
    <sheet name="F19_data_P &amp; M" sheetId="62" state="hidden" r:id="rId60"/>
    <sheet name="Data_Loan_PSTCL" sheetId="71" state="hidden" r:id="rId61"/>
    <sheet name="LIC" sheetId="72" state="hidden" r:id="rId62"/>
    <sheet name="OBC" sheetId="73" state="hidden" r:id="rId63"/>
    <sheet name="Annual_RECLoan" sheetId="83" state="hidden" r:id="rId64"/>
    <sheet name="Transco_RECLOAN" sheetId="84" state="hidden" r:id="rId65"/>
    <sheet name="REC-M" sheetId="74" state="hidden" r:id="rId66"/>
    <sheet name="REC-Q" sheetId="75" state="hidden" r:id="rId67"/>
    <sheet name="REC-Y" sheetId="76" state="hidden" r:id="rId68"/>
    <sheet name="EQI" sheetId="86" state="hidden" r:id="rId69"/>
    <sheet name="Monthly" sheetId="85" state="hidden" r:id="rId70"/>
    <sheet name="SBOP-MTL" sheetId="77" state="hidden" r:id="rId71"/>
    <sheet name="STL" sheetId="78" state="hidden" r:id="rId72"/>
    <sheet name="F22_data_P &amp; M" sheetId="63" state="hidden" r:id="rId73"/>
    <sheet name="Capex-FY 11" sheetId="51" state="hidden" r:id="rId74"/>
    <sheet name="Capex-FY 12-H1" sheetId="52" state="hidden" r:id="rId75"/>
    <sheet name="Capex-FY 12-H2" sheetId="55" state="hidden" r:id="rId76"/>
    <sheet name="Capex-FY 13" sheetId="56" state="hidden" r:id="rId77"/>
    <sheet name="Capex" sheetId="32" state="hidden" r:id="rId78"/>
    <sheet name="Annexure A-last Petition" sheetId="36" state="hidden" r:id="rId79"/>
    <sheet name="Annexure B-last Petition" sheetId="37" state="hidden" r:id="rId80"/>
    <sheet name="SLDC ARR" sheetId="29" state="hidden" r:id="rId81"/>
    <sheet name="SLDC charges" sheetId="45" state="hidden" r:id="rId82"/>
    <sheet name="Calculation of Revenue Gap" sheetId="87" state="hidden" r:id="rId83"/>
    <sheet name="Schedules of Accounts" sheetId="49" state="hidden" r:id="rId84"/>
    <sheet name="O&amp;M Expenses as per Amended Reg" sheetId="104" state="hidden" r:id="rId85"/>
    <sheet name="Tariff For FY 14" sheetId="120" state="hidden" r:id="rId86"/>
    <sheet name="Sheet1" sheetId="122" state="hidden" r:id="rId87"/>
  </sheets>
  <externalReferences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</externalReferences>
  <definedNames>
    <definedName name="_xlnm._FilterDatabase" localSheetId="22" hidden="1">'F12 '!$B$10:$M$29</definedName>
    <definedName name="Capex" localSheetId="12">'[1]Control Sheet'!$C$3:$F$3</definedName>
    <definedName name="Capex" localSheetId="25">'[2]Control Sheet'!$C$3:$F$3</definedName>
    <definedName name="Capex" localSheetId="13">'[2]Control Sheet'!$C$3:$F$3</definedName>
    <definedName name="Capex" localSheetId="11">'[1]Control Sheet'!$C$3:$F$3</definedName>
    <definedName name="Capex" localSheetId="19">'[2]Control Sheet'!$C$3:$F$3</definedName>
    <definedName name="Capex" localSheetId="0">'[3]Control Sheet'!$C$3:$F$3</definedName>
    <definedName name="Capex" localSheetId="1">'[3]Control Sheet'!$C$3:$F$3</definedName>
    <definedName name="Capex">'Control Sheet'!$C$3:$F$3</definedName>
    <definedName name="Capitalisation" localSheetId="12">'[1]Control Sheet'!$C$4:$F$4</definedName>
    <definedName name="Capitalisation" localSheetId="25">'[2]Control Sheet'!$C$4:$F$4</definedName>
    <definedName name="Capitalisation" localSheetId="13">'[2]Control Sheet'!$C$4:$F$4</definedName>
    <definedName name="Capitalisation" localSheetId="11">'[1]Control Sheet'!$C$4:$F$4</definedName>
    <definedName name="Capitalisation" localSheetId="19">'[2]Control Sheet'!$C$4:$F$4</definedName>
    <definedName name="Capitalisation" localSheetId="0">'[3]Control Sheet'!$C$4:$F$4</definedName>
    <definedName name="Capitalisation" localSheetId="1">'[3]Control Sheet'!$C$4:$F$4</definedName>
    <definedName name="Capitalisation">'Control Sheet'!$C$4:$F$4</definedName>
    <definedName name="Inflation">'Control Sheet'!$C$7</definedName>
    <definedName name="Interest_Rate_for_REC" localSheetId="12">'[1]Control Sheet'!$C$9</definedName>
    <definedName name="Interest_Rate_for_REC" localSheetId="25">'[2]Control Sheet'!$C$9</definedName>
    <definedName name="Interest_Rate_for_REC" localSheetId="13">'[2]Control Sheet'!$C$9</definedName>
    <definedName name="Interest_Rate_for_REC" localSheetId="11">'[1]Control Sheet'!$C$9</definedName>
    <definedName name="Interest_Rate_for_REC" localSheetId="19">'[2]Control Sheet'!$C$9</definedName>
    <definedName name="Interest_Rate_for_REC" localSheetId="0">'[3]Control Sheet'!$C$9</definedName>
    <definedName name="Interest_Rate_for_REC" localSheetId="1">'[3]Control Sheet'!$C$9</definedName>
    <definedName name="Interest_Rate_for_REC">'Control Sheet'!$C$9</definedName>
    <definedName name="_xlnm.Print_Area" localSheetId="78">'Annexure A-last Petition'!$A$1:$K$335</definedName>
    <definedName name="_xlnm.Print_Area" localSheetId="79">'Annexure B-last Petition'!$A$1:$K$173</definedName>
    <definedName name="_xlnm.Print_Area" localSheetId="9">ARR!$C$1:$Z$28</definedName>
    <definedName name="_xlnm.Print_Area" localSheetId="10">'ARR (SLDC)'!$A$1:$P$24</definedName>
    <definedName name="_xlnm.Print_Area" localSheetId="8">'Capex Summary sheet'!$A$1:$P$22</definedName>
    <definedName name="_xlnm.Print_Area" localSheetId="42">Data_TL_consolidated!$A$1:$Q$72</definedName>
    <definedName name="_xlnm.Print_Area" localSheetId="14">'F1'!$B$1:$M$42</definedName>
    <definedName name="_xlnm.Print_Area" localSheetId="15">'F1(a)'!$A$1:$N$58</definedName>
    <definedName name="_xlnm.Print_Area" localSheetId="21">'F11'!$B$1:$M$13</definedName>
    <definedName name="_xlnm.Print_Area" localSheetId="22">'F12 '!$B$1:$M$29</definedName>
    <definedName name="_xlnm.Print_Area" localSheetId="23">'F14'!$A$1:$M$16</definedName>
    <definedName name="_xlnm.Print_Area" localSheetId="24">'F15'!$B$1:$M$14</definedName>
    <definedName name="_xlnm.Print_Area" localSheetId="12">'F15 SLDC'!$A$1:$M$16</definedName>
    <definedName name="_xlnm.Print_Area" localSheetId="25">F15R!$B$1:$M$14</definedName>
    <definedName name="_xlnm.Print_Area" localSheetId="27">'F16'!$B$1:$M$14</definedName>
    <definedName name="_xlnm.Print_Area" localSheetId="26">'F16 R'!$B$1:$N$14</definedName>
    <definedName name="_xlnm.Print_Area" localSheetId="28">'F17'!$B$1:$AB$13</definedName>
    <definedName name="_xlnm.Print_Area" localSheetId="29">'F18'!$B$1:$AB$15</definedName>
    <definedName name="_xlnm.Print_Area" localSheetId="57">'F18_data_P &amp; M'!$B$1:$M$60</definedName>
    <definedName name="_xlnm.Print_Area" localSheetId="30">'F19'!$B$1:$AB$13</definedName>
    <definedName name="_xlnm.Print_Area" localSheetId="13">F1R!$B$1:$O$43</definedName>
    <definedName name="_xlnm.Print_Area" localSheetId="11">F1SLDC!$B$1:$T$41</definedName>
    <definedName name="_xlnm.Print_Area" localSheetId="31">'F20'!$B$1:$M$19</definedName>
    <definedName name="_xlnm.Print_Area" localSheetId="32">'F20 R'!$B$1:$P$19</definedName>
    <definedName name="_xlnm.Print_Area" localSheetId="33">'F21'!$B$1:$H$34</definedName>
    <definedName name="_xlnm.Print_Area" localSheetId="35">'F21 detailed'!$B$1:$I$54</definedName>
    <definedName name="_xlnm.Print_Area" localSheetId="36">'F21 detailed R'!$B$1:$I$58</definedName>
    <definedName name="_xlnm.Print_Area" localSheetId="34">'F21 R'!$B$1:$J$34</definedName>
    <definedName name="_xlnm.Print_Area" localSheetId="37">'F22'!$B$1:$K$16</definedName>
    <definedName name="_xlnm.Print_Area" localSheetId="72">'F22_data_P &amp; M'!$B$1:$O$21</definedName>
    <definedName name="_xlnm.Print_Area" localSheetId="38">'F23'!$B$1:$M$11</definedName>
    <definedName name="_xlnm.Print_Area" localSheetId="39">'F24'!$B$1:$M$13</definedName>
    <definedName name="_xlnm.Print_Area" localSheetId="40">'F24 R'!$B$1:$O$13</definedName>
    <definedName name="_xlnm.Print_Area" localSheetId="16">'F4'!$B$1:$M$27</definedName>
    <definedName name="_xlnm.Print_Area" localSheetId="17">'F5'!$B$1:$M$38</definedName>
    <definedName name="_xlnm.Print_Area" localSheetId="18">'F8'!$B$1:$M$16</definedName>
    <definedName name="_xlnm.Print_Area" localSheetId="20">'F9'!$B$2:$M$57</definedName>
    <definedName name="_xlnm.Print_Area" localSheetId="19">F9R!$B$2:$O$57</definedName>
    <definedName name="_xlnm.Print_Area" localSheetId="41">'Funding Pattern'!$A$1:$H$8</definedName>
    <definedName name="_xlnm.Print_Area" localSheetId="4">Index!$B$1:$D$27</definedName>
    <definedName name="_xlnm.Print_Area" localSheetId="0">'New employee projec'!$A$1:$N$47</definedName>
    <definedName name="_xlnm.Print_Area" localSheetId="43">'Revised data_Sub-stations'!$A$1:$Q$89</definedName>
    <definedName name="_xlnm.Print_Area" localSheetId="80">'SLDC ARR'!$B$5:$D$22</definedName>
    <definedName name="_xlnm.Print_Area" localSheetId="81">'SLDC charges'!$D$1:$E$20</definedName>
    <definedName name="_xlnm.Print_Titles" localSheetId="78">'Annexure A-last Petition'!$1:$3</definedName>
    <definedName name="_xlnm.Print_Titles" localSheetId="79">'Annexure B-last Petition'!$1:$4</definedName>
    <definedName name="_xlnm.Print_Titles" localSheetId="42">Data_TL_consolidated!$1:$2</definedName>
    <definedName name="_xlnm.Print_Titles" localSheetId="43">'Revised data_Sub-stations'!$1:$2</definedName>
    <definedName name="RoE" localSheetId="12">'[1]Control Sheet'!$C$12</definedName>
    <definedName name="RoE" localSheetId="25">'[2]Control Sheet'!$C$12</definedName>
    <definedName name="RoE" localSheetId="13">'[2]Control Sheet'!$C$12</definedName>
    <definedName name="RoE" localSheetId="11">'[1]Control Sheet'!$C$12</definedName>
    <definedName name="RoE" localSheetId="19">'[2]Control Sheet'!$C$12</definedName>
    <definedName name="RoE" localSheetId="0">'[3]Control Sheet'!$C$12</definedName>
    <definedName name="RoE" localSheetId="1">'[3]Control Sheet'!$C$12</definedName>
    <definedName name="RoE">'Control Sheet'!$C$12</definedName>
    <definedName name="SBI_PLR" localSheetId="12">'[1]Control Sheet'!$C$10</definedName>
    <definedName name="SBI_PLR" localSheetId="25">'[2]Control Sheet'!$C$10</definedName>
    <definedName name="SBI_PLR" localSheetId="13">'[2]Control Sheet'!$C$10</definedName>
    <definedName name="SBI_PLR" localSheetId="11">'[1]Control Sheet'!$C$10</definedName>
    <definedName name="SBI_PLR" localSheetId="19">'[2]Control Sheet'!$C$10</definedName>
    <definedName name="SBI_PLR" localSheetId="0">'[3]Control Sheet'!$C$10</definedName>
    <definedName name="SBI_PLR" localSheetId="1">'[3]Control Sheet'!$C$10</definedName>
    <definedName name="SBI_PLR">'Control Sheet'!$C$10</definedName>
    <definedName name="SS132kvstaffnorm">#REF!</definedName>
    <definedName name="ss220kvstaffnorm" localSheetId="11">#REF!</definedName>
    <definedName name="ss220kvstaffnorm">#REF!</definedName>
    <definedName name="ss400kvstaffnorm" localSheetId="12">#REF!</definedName>
    <definedName name="ss400kvstaffnorm" localSheetId="25">'[4]Norms for employee Addition'!$L$13</definedName>
    <definedName name="ss400kvstaffnorm" localSheetId="13">'[4]Norms for employee Addition'!$L$13</definedName>
    <definedName name="ss400kvstaffnorm" localSheetId="11">#REF!</definedName>
    <definedName name="ss400kvstaffnorm" localSheetId="19">'[4]Norms for employee Addition'!$L$13</definedName>
    <definedName name="ss400kvstaffnorm">'[5]Norms for employee Addition'!$L$13</definedName>
    <definedName name="Tax_rate" localSheetId="12">'[1]Control Sheet'!$C$11</definedName>
    <definedName name="Tax_rate" localSheetId="25">'[2]Control Sheet'!$C$11</definedName>
    <definedName name="Tax_rate" localSheetId="13">'[2]Control Sheet'!$C$11</definedName>
    <definedName name="Tax_rate" localSheetId="11">'[1]Control Sheet'!$C$11</definedName>
    <definedName name="Tax_rate" localSheetId="19">'[2]Control Sheet'!$C$11</definedName>
    <definedName name="Tax_rate" localSheetId="0">'[3]Control Sheet'!$C$11</definedName>
    <definedName name="Tax_rate" localSheetId="1">'[3]Control Sheet'!$C$11</definedName>
    <definedName name="Tax_rate">'Control Sheet'!$C$11</definedName>
  </definedNames>
  <calcPr calcId="124519"/>
</workbook>
</file>

<file path=xl/calcChain.xml><?xml version="1.0" encoding="utf-8"?>
<calcChain xmlns="http://schemas.openxmlformats.org/spreadsheetml/2006/main">
  <c r="T40" i="144"/>
  <c r="T13"/>
  <c r="T14"/>
  <c r="T15"/>
  <c r="T16"/>
  <c r="T17"/>
  <c r="T18"/>
  <c r="T19"/>
  <c r="T20"/>
  <c r="T21"/>
  <c r="T12"/>
  <c r="T22" s="1"/>
  <c r="T35"/>
  <c r="T29"/>
  <c r="K21"/>
  <c r="L21" s="1"/>
  <c r="L35"/>
  <c r="L29"/>
  <c r="J11" i="145"/>
  <c r="C12"/>
  <c r="D12"/>
  <c r="D14" s="1"/>
  <c r="D16" s="1"/>
  <c r="E12"/>
  <c r="C13"/>
  <c r="D13"/>
  <c r="E13"/>
  <c r="E14" s="1"/>
  <c r="E16" s="1"/>
  <c r="F14"/>
  <c r="F16" s="1"/>
  <c r="G14"/>
  <c r="K12" i="144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D22"/>
  <c r="F22"/>
  <c r="G22"/>
  <c r="I22"/>
  <c r="I36" s="1"/>
  <c r="J22"/>
  <c r="M22"/>
  <c r="M36" s="1"/>
  <c r="M38" s="1"/>
  <c r="M41" s="1"/>
  <c r="K24"/>
  <c r="K25"/>
  <c r="K26"/>
  <c r="K27"/>
  <c r="K28"/>
  <c r="D29"/>
  <c r="E29"/>
  <c r="F29"/>
  <c r="G29"/>
  <c r="H29"/>
  <c r="H36" s="1"/>
  <c r="H38" s="1"/>
  <c r="H41" s="1"/>
  <c r="I29"/>
  <c r="J29"/>
  <c r="K29" s="1"/>
  <c r="J46" s="1"/>
  <c r="M29"/>
  <c r="K31"/>
  <c r="K32"/>
  <c r="K33"/>
  <c r="K34"/>
  <c r="D35"/>
  <c r="D36" s="1"/>
  <c r="D41" s="1"/>
  <c r="E35"/>
  <c r="F35"/>
  <c r="G35"/>
  <c r="H35"/>
  <c r="G48" s="1"/>
  <c r="I35"/>
  <c r="J35"/>
  <c r="K35"/>
  <c r="M35"/>
  <c r="E36"/>
  <c r="F36"/>
  <c r="F41" s="1"/>
  <c r="G36"/>
  <c r="G38" s="1"/>
  <c r="G41" s="1"/>
  <c r="J36"/>
  <c r="J38" s="1"/>
  <c r="J41" s="1"/>
  <c r="K37"/>
  <c r="K39"/>
  <c r="K40"/>
  <c r="L40" s="1"/>
  <c r="E41"/>
  <c r="G46"/>
  <c r="H46"/>
  <c r="I46"/>
  <c r="K46"/>
  <c r="K52" s="1"/>
  <c r="G47"/>
  <c r="H47"/>
  <c r="I47"/>
  <c r="J47"/>
  <c r="K47"/>
  <c r="I48"/>
  <c r="K48"/>
  <c r="I49"/>
  <c r="K49"/>
  <c r="G50"/>
  <c r="H50"/>
  <c r="I50"/>
  <c r="J50"/>
  <c r="K50"/>
  <c r="J51"/>
  <c r="D52"/>
  <c r="E52"/>
  <c r="F52"/>
  <c r="I52"/>
  <c r="I38" l="1"/>
  <c r="I41" s="1"/>
  <c r="K36"/>
  <c r="K38" s="1"/>
  <c r="K41" s="1"/>
  <c r="G49"/>
  <c r="K22"/>
  <c r="G52"/>
  <c r="H48"/>
  <c r="C14" i="145"/>
  <c r="C16" s="1"/>
  <c r="L22" i="144"/>
  <c r="L36" s="1"/>
  <c r="L38" s="1"/>
  <c r="L41" s="1"/>
  <c r="R11" i="130" s="1"/>
  <c r="T36" i="144"/>
  <c r="T38" s="1"/>
  <c r="T41" s="1"/>
  <c r="T11" i="130" s="1"/>
  <c r="J48" i="144"/>
  <c r="J49" s="1"/>
  <c r="H49" l="1"/>
  <c r="H52"/>
  <c r="J52"/>
  <c r="F18" i="145"/>
  <c r="G18"/>
  <c r="L18" l="1"/>
  <c r="L19"/>
  <c r="J18" l="1"/>
  <c r="J19"/>
  <c r="L13"/>
  <c r="L12"/>
  <c r="J12" l="1"/>
  <c r="J13"/>
  <c r="J14" l="1"/>
  <c r="J16" s="1"/>
  <c r="I33" i="140" l="1"/>
  <c r="G32"/>
  <c r="G33"/>
  <c r="P18" i="35" l="1"/>
  <c r="I19" i="143"/>
  <c r="F19"/>
  <c r="E19"/>
  <c r="L18"/>
  <c r="H18"/>
  <c r="F15"/>
  <c r="F18" s="1"/>
  <c r="X16" i="130"/>
  <c r="O12" i="142"/>
  <c r="M11"/>
  <c r="J13"/>
  <c r="I13"/>
  <c r="H13"/>
  <c r="E13"/>
  <c r="D13"/>
  <c r="L12"/>
  <c r="M12" s="1"/>
  <c r="L11"/>
  <c r="K11"/>
  <c r="K13" s="1"/>
  <c r="F11"/>
  <c r="F13" s="1"/>
  <c r="N14" i="130"/>
  <c r="L14"/>
  <c r="T20"/>
  <c r="T16"/>
  <c r="R20"/>
  <c r="R16"/>
  <c r="N18"/>
  <c r="N16"/>
  <c r="Z16" s="1"/>
  <c r="L16"/>
  <c r="L18"/>
  <c r="L13" i="142" l="1"/>
  <c r="M13" s="1"/>
  <c r="G11"/>
  <c r="G13" s="1"/>
  <c r="C9" i="141"/>
  <c r="H9"/>
  <c r="N9"/>
  <c r="O9" s="1"/>
  <c r="H10"/>
  <c r="L10"/>
  <c r="M10"/>
  <c r="Q10" s="1"/>
  <c r="N10"/>
  <c r="O10" s="1"/>
  <c r="P10"/>
  <c r="H11"/>
  <c r="N11" s="1"/>
  <c r="D12"/>
  <c r="F12"/>
  <c r="G12"/>
  <c r="H12"/>
  <c r="I12"/>
  <c r="I14" s="1"/>
  <c r="K14"/>
  <c r="D18"/>
  <c r="P18" s="1"/>
  <c r="H18"/>
  <c r="J18" s="1"/>
  <c r="D19"/>
  <c r="P19" s="1"/>
  <c r="Q19" s="1"/>
  <c r="H19"/>
  <c r="J19" s="1"/>
  <c r="D20"/>
  <c r="P20" s="1"/>
  <c r="Q20" s="1"/>
  <c r="H20"/>
  <c r="J20" s="1"/>
  <c r="D21"/>
  <c r="F21"/>
  <c r="G21"/>
  <c r="I21"/>
  <c r="I23" s="1"/>
  <c r="L21"/>
  <c r="M21"/>
  <c r="C27"/>
  <c r="F30"/>
  <c r="G30"/>
  <c r="I30"/>
  <c r="I32"/>
  <c r="D39"/>
  <c r="G39"/>
  <c r="H39" s="1"/>
  <c r="I39"/>
  <c r="D40"/>
  <c r="G40"/>
  <c r="I40"/>
  <c r="G41"/>
  <c r="H43"/>
  <c r="D51"/>
  <c r="G51"/>
  <c r="G56" s="1"/>
  <c r="J26" i="140" s="1"/>
  <c r="I51" i="141"/>
  <c r="D52"/>
  <c r="H52" s="1"/>
  <c r="G52"/>
  <c r="I52"/>
  <c r="G53"/>
  <c r="H55"/>
  <c r="F12" i="140"/>
  <c r="K12"/>
  <c r="K15" s="1"/>
  <c r="K18" s="1"/>
  <c r="F13"/>
  <c r="K13"/>
  <c r="F14"/>
  <c r="K14"/>
  <c r="D15"/>
  <c r="J15"/>
  <c r="F16"/>
  <c r="D18"/>
  <c r="E18"/>
  <c r="J18"/>
  <c r="D26"/>
  <c r="D27"/>
  <c r="D32" s="1"/>
  <c r="F27"/>
  <c r="F28"/>
  <c r="H29"/>
  <c r="I45" i="141" s="1"/>
  <c r="J29" i="140"/>
  <c r="I57" i="141" s="1"/>
  <c r="D30" i="140"/>
  <c r="D31" s="1"/>
  <c r="D34" s="1"/>
  <c r="F31"/>
  <c r="F34" s="1"/>
  <c r="J32"/>
  <c r="E34"/>
  <c r="E33" s="1"/>
  <c r="N10" i="138"/>
  <c r="L12"/>
  <c r="N12"/>
  <c r="N13"/>
  <c r="N19" i="130" s="1"/>
  <c r="D14" i="138"/>
  <c r="G14"/>
  <c r="H14"/>
  <c r="L14"/>
  <c r="L13" s="1"/>
  <c r="L19" i="130" s="1"/>
  <c r="M14" i="138"/>
  <c r="M13" s="1"/>
  <c r="F11" i="137"/>
  <c r="F14" s="1"/>
  <c r="E12"/>
  <c r="F12"/>
  <c r="L12"/>
  <c r="E13"/>
  <c r="F13"/>
  <c r="L13"/>
  <c r="H14"/>
  <c r="K14"/>
  <c r="L14"/>
  <c r="M14"/>
  <c r="D20"/>
  <c r="E20" s="1"/>
  <c r="D24"/>
  <c r="E24"/>
  <c r="F24"/>
  <c r="D10" i="136"/>
  <c r="E10"/>
  <c r="G10"/>
  <c r="G18" s="1"/>
  <c r="J10"/>
  <c r="D18"/>
  <c r="E18"/>
  <c r="F18"/>
  <c r="H18"/>
  <c r="J18"/>
  <c r="K18"/>
  <c r="Q18"/>
  <c r="R18"/>
  <c r="W18"/>
  <c r="B26"/>
  <c r="E30"/>
  <c r="H30"/>
  <c r="P30"/>
  <c r="P33" s="1"/>
  <c r="P38" s="1"/>
  <c r="Q30"/>
  <c r="R30"/>
  <c r="E31"/>
  <c r="H31" s="1"/>
  <c r="P31"/>
  <c r="R31"/>
  <c r="R33" s="1"/>
  <c r="R38" s="1"/>
  <c r="H32"/>
  <c r="P32"/>
  <c r="Q32"/>
  <c r="R32"/>
  <c r="D33"/>
  <c r="E33"/>
  <c r="F33"/>
  <c r="F38" s="1"/>
  <c r="G33"/>
  <c r="G38" s="1"/>
  <c r="I33"/>
  <c r="J33"/>
  <c r="K33"/>
  <c r="K38" s="1"/>
  <c r="L33"/>
  <c r="L38" s="1"/>
  <c r="O33"/>
  <c r="H34"/>
  <c r="P34"/>
  <c r="R34"/>
  <c r="H35"/>
  <c r="Q35" s="1"/>
  <c r="P35"/>
  <c r="R35"/>
  <c r="H36"/>
  <c r="Q36" s="1"/>
  <c r="P36"/>
  <c r="R36"/>
  <c r="D38"/>
  <c r="E38"/>
  <c r="I38"/>
  <c r="J38"/>
  <c r="O38"/>
  <c r="H40"/>
  <c r="P40"/>
  <c r="Q40" s="1"/>
  <c r="R40"/>
  <c r="D51"/>
  <c r="F51"/>
  <c r="H51"/>
  <c r="D52"/>
  <c r="D56" s="1"/>
  <c r="F52"/>
  <c r="H52"/>
  <c r="L52"/>
  <c r="D53"/>
  <c r="F53"/>
  <c r="G53"/>
  <c r="H53"/>
  <c r="H55" s="1"/>
  <c r="H57" s="1"/>
  <c r="J53"/>
  <c r="L53"/>
  <c r="F54"/>
  <c r="G54" s="1"/>
  <c r="G55" s="1"/>
  <c r="J54"/>
  <c r="D55"/>
  <c r="E55"/>
  <c r="E57" s="1"/>
  <c r="I55"/>
  <c r="M55"/>
  <c r="E56"/>
  <c r="F56"/>
  <c r="H56"/>
  <c r="I56"/>
  <c r="J57"/>
  <c r="L57"/>
  <c r="I57" s="1"/>
  <c r="F11" i="135"/>
  <c r="G11" s="1"/>
  <c r="K11"/>
  <c r="L11" s="1"/>
  <c r="N11"/>
  <c r="N33" s="1"/>
  <c r="F12"/>
  <c r="G12"/>
  <c r="K12"/>
  <c r="L12" s="1"/>
  <c r="N12"/>
  <c r="F13"/>
  <c r="G13"/>
  <c r="H13"/>
  <c r="K13"/>
  <c r="L13" s="1"/>
  <c r="N13"/>
  <c r="F16"/>
  <c r="G16" s="1"/>
  <c r="K16"/>
  <c r="L16" s="1"/>
  <c r="N16"/>
  <c r="F17"/>
  <c r="G17" s="1"/>
  <c r="K17"/>
  <c r="L17" s="1"/>
  <c r="N17"/>
  <c r="D20"/>
  <c r="E20"/>
  <c r="H20"/>
  <c r="J20"/>
  <c r="N21"/>
  <c r="E22"/>
  <c r="E28" s="1"/>
  <c r="F22"/>
  <c r="G22" s="1"/>
  <c r="K22"/>
  <c r="L22" s="1"/>
  <c r="N22"/>
  <c r="E23"/>
  <c r="K23"/>
  <c r="L23" s="1"/>
  <c r="N23"/>
  <c r="N28" s="1"/>
  <c r="F25"/>
  <c r="G25"/>
  <c r="L25"/>
  <c r="D28"/>
  <c r="H28"/>
  <c r="J28"/>
  <c r="N29"/>
  <c r="E30"/>
  <c r="K30"/>
  <c r="L30" s="1"/>
  <c r="N30"/>
  <c r="E33"/>
  <c r="F33"/>
  <c r="F36" s="1"/>
  <c r="E66" s="1"/>
  <c r="K33"/>
  <c r="L33" s="1"/>
  <c r="E35"/>
  <c r="K35"/>
  <c r="L35" s="1"/>
  <c r="N35"/>
  <c r="D36"/>
  <c r="D37" s="1"/>
  <c r="D39" s="1"/>
  <c r="D41" s="1"/>
  <c r="D43" s="1"/>
  <c r="H36"/>
  <c r="J36"/>
  <c r="J37" s="1"/>
  <c r="J39" s="1"/>
  <c r="J41" s="1"/>
  <c r="J43" s="1"/>
  <c r="M37"/>
  <c r="O37"/>
  <c r="O39" s="1"/>
  <c r="O43" s="1"/>
  <c r="N11" i="130" s="1"/>
  <c r="Z11" s="1"/>
  <c r="F38" i="135"/>
  <c r="G38" s="1"/>
  <c r="E70" s="1"/>
  <c r="K38"/>
  <c r="L38" s="1"/>
  <c r="I70" s="1"/>
  <c r="N38"/>
  <c r="J70" s="1"/>
  <c r="M39"/>
  <c r="M43" s="1"/>
  <c r="L11" i="130" s="1"/>
  <c r="K42" i="135"/>
  <c r="L42" s="1"/>
  <c r="I67" s="1"/>
  <c r="N42"/>
  <c r="J67" s="1"/>
  <c r="D46"/>
  <c r="D47"/>
  <c r="D48"/>
  <c r="E51" s="1"/>
  <c r="D51"/>
  <c r="F66"/>
  <c r="G66"/>
  <c r="D67"/>
  <c r="E67"/>
  <c r="F67"/>
  <c r="F72" s="1"/>
  <c r="G67"/>
  <c r="F68"/>
  <c r="F69"/>
  <c r="G69"/>
  <c r="G70"/>
  <c r="G68" s="1"/>
  <c r="H70"/>
  <c r="J71"/>
  <c r="H51" i="141" l="1"/>
  <c r="G44"/>
  <c r="H26" i="140" s="1"/>
  <c r="N20" i="135"/>
  <c r="N37" s="1"/>
  <c r="N39" s="1"/>
  <c r="N41" s="1"/>
  <c r="N43" s="1"/>
  <c r="N36"/>
  <c r="J66" s="1"/>
  <c r="G33"/>
  <c r="G36" s="1"/>
  <c r="G28"/>
  <c r="Q18" i="141"/>
  <c r="N21"/>
  <c r="K36" i="135"/>
  <c r="L20"/>
  <c r="F32" i="140"/>
  <c r="G72" i="135"/>
  <c r="M41"/>
  <c r="K28"/>
  <c r="H66" s="1"/>
  <c r="D57" i="136"/>
  <c r="F15" i="140"/>
  <c r="F18" s="1"/>
  <c r="H21" i="141"/>
  <c r="S20"/>
  <c r="S19"/>
  <c r="S18"/>
  <c r="L36" i="135"/>
  <c r="F28"/>
  <c r="D28" i="141"/>
  <c r="H28" s="1"/>
  <c r="H67" i="135"/>
  <c r="H37"/>
  <c r="H39" s="1"/>
  <c r="H41" s="1"/>
  <c r="H43" s="1"/>
  <c r="E36"/>
  <c r="D66" s="1"/>
  <c r="L28"/>
  <c r="L55" i="136"/>
  <c r="L51" s="1"/>
  <c r="Q34"/>
  <c r="H40" i="141"/>
  <c r="D29"/>
  <c r="D27"/>
  <c r="D13" i="138"/>
  <c r="O11" i="141"/>
  <c r="N12"/>
  <c r="F20" i="137"/>
  <c r="F26" s="1"/>
  <c r="F27" s="1"/>
  <c r="E26"/>
  <c r="D11"/>
  <c r="D10" i="138" s="1"/>
  <c r="G51" i="136"/>
  <c r="G56" s="1"/>
  <c r="L56" s="1"/>
  <c r="J52"/>
  <c r="Q31"/>
  <c r="Q33" s="1"/>
  <c r="H33"/>
  <c r="H38" s="1"/>
  <c r="F55"/>
  <c r="F57" s="1"/>
  <c r="I66" i="135"/>
  <c r="G20"/>
  <c r="E37"/>
  <c r="E39" s="1"/>
  <c r="E41" s="1"/>
  <c r="E43" s="1"/>
  <c r="K20"/>
  <c r="F20"/>
  <c r="L37" l="1"/>
  <c r="L39" s="1"/>
  <c r="L41" s="1"/>
  <c r="L43" s="1"/>
  <c r="I69"/>
  <c r="I68" s="1"/>
  <c r="J69"/>
  <c r="J68" s="1"/>
  <c r="J72" s="1"/>
  <c r="G10" i="138"/>
  <c r="D12"/>
  <c r="D30" i="141"/>
  <c r="H27"/>
  <c r="F37" i="135"/>
  <c r="F39" s="1"/>
  <c r="F41" s="1"/>
  <c r="F43" s="1"/>
  <c r="Q38" i="136"/>
  <c r="E27" i="137"/>
  <c r="H10" i="138"/>
  <c r="H13" s="1"/>
  <c r="H29" i="141"/>
  <c r="D41"/>
  <c r="D44" s="1"/>
  <c r="H24" i="140" s="1"/>
  <c r="E11" i="137"/>
  <c r="G11"/>
  <c r="G14" s="1"/>
  <c r="D14"/>
  <c r="J55" i="136"/>
  <c r="J51" s="1"/>
  <c r="J56" s="1"/>
  <c r="G37" i="135"/>
  <c r="G39" s="1"/>
  <c r="G41" s="1"/>
  <c r="G43" s="1"/>
  <c r="E69"/>
  <c r="E68" s="1"/>
  <c r="E72" s="1"/>
  <c r="H69"/>
  <c r="H68" s="1"/>
  <c r="H72" s="1"/>
  <c r="K37"/>
  <c r="K39" s="1"/>
  <c r="K41" s="1"/>
  <c r="K43" s="1"/>
  <c r="I72"/>
  <c r="G11" i="138" l="1"/>
  <c r="G12" s="1"/>
  <c r="G13"/>
  <c r="H30" i="141"/>
  <c r="E14" i="137"/>
  <c r="I11" s="1"/>
  <c r="I10" i="138" s="1"/>
  <c r="I13" s="1"/>
  <c r="E10"/>
  <c r="J11" i="137"/>
  <c r="J14" s="1"/>
  <c r="E13" i="138" l="1"/>
  <c r="E12"/>
  <c r="I14" i="137"/>
  <c r="F53" i="141"/>
  <c r="F56" s="1"/>
  <c r="J25" i="140" s="1"/>
  <c r="F41" i="141" l="1"/>
  <c r="H41" l="1"/>
  <c r="F44"/>
  <c r="H25" i="140" s="1"/>
  <c r="H27" s="1"/>
  <c r="I41" i="141"/>
  <c r="I44" s="1"/>
  <c r="H28" i="140" l="1"/>
  <c r="H31" s="1"/>
  <c r="H34" s="1"/>
  <c r="L15" i="130" s="1"/>
  <c r="I46" i="141"/>
  <c r="D53"/>
  <c r="H44"/>
  <c r="D56" l="1"/>
  <c r="J24" i="140" s="1"/>
  <c r="J27" s="1"/>
  <c r="H53" i="141"/>
  <c r="H56" s="1"/>
  <c r="I53" l="1"/>
  <c r="I56" s="1"/>
  <c r="I58" l="1"/>
  <c r="J28" i="140"/>
  <c r="J31" s="1"/>
  <c r="J34" s="1"/>
  <c r="N15" i="130" s="1"/>
  <c r="S11" l="1"/>
  <c r="S12"/>
  <c r="T12" s="1"/>
  <c r="Q27"/>
  <c r="R27" s="1"/>
  <c r="Q25"/>
  <c r="R25" s="1"/>
  <c r="I18" i="97"/>
  <c r="S22" i="130" s="1"/>
  <c r="T22" s="1"/>
  <c r="H18" i="97"/>
  <c r="Q22" i="130" s="1"/>
  <c r="R22" s="1"/>
  <c r="E18" i="97"/>
  <c r="P22" i="130" s="1"/>
  <c r="Q19"/>
  <c r="R19" s="1"/>
  <c r="X19" s="1"/>
  <c r="Q15"/>
  <c r="R15" s="1"/>
  <c r="Q14"/>
  <c r="R14" s="1"/>
  <c r="X14" s="1"/>
  <c r="P11"/>
  <c r="P14"/>
  <c r="P15"/>
  <c r="P17"/>
  <c r="P18"/>
  <c r="P25"/>
  <c r="O25"/>
  <c r="O19"/>
  <c r="O17"/>
  <c r="O12"/>
  <c r="O13"/>
  <c r="O14"/>
  <c r="O15"/>
  <c r="O11"/>
  <c r="O22" i="97"/>
  <c r="N22"/>
  <c r="H22"/>
  <c r="E22"/>
  <c r="P20"/>
  <c r="I20"/>
  <c r="P18"/>
  <c r="O18"/>
  <c r="N18"/>
  <c r="M18"/>
  <c r="G18"/>
  <c r="F18"/>
  <c r="D18"/>
  <c r="O22" i="130" s="1"/>
  <c r="F17" i="97"/>
  <c r="F19" s="1"/>
  <c r="F21" s="1"/>
  <c r="P16"/>
  <c r="O16"/>
  <c r="N16"/>
  <c r="I16"/>
  <c r="S19" i="130" s="1"/>
  <c r="T19" s="1"/>
  <c r="Z19" s="1"/>
  <c r="H16" i="97"/>
  <c r="G16"/>
  <c r="F16"/>
  <c r="E16"/>
  <c r="P19" i="130" s="1"/>
  <c r="P15" i="97"/>
  <c r="O15"/>
  <c r="M15"/>
  <c r="I15"/>
  <c r="S18" i="130" s="1"/>
  <c r="T18" s="1"/>
  <c r="Z18" s="1"/>
  <c r="H15" i="97"/>
  <c r="Q18" i="130" s="1"/>
  <c r="R18" s="1"/>
  <c r="X18" s="1"/>
  <c r="D15" i="97"/>
  <c r="O18" i="130" s="1"/>
  <c r="C15" i="97"/>
  <c r="O14"/>
  <c r="H14"/>
  <c r="Q17" i="130" s="1"/>
  <c r="P13" i="97"/>
  <c r="O13"/>
  <c r="I13"/>
  <c r="S15" i="130" s="1"/>
  <c r="T15" s="1"/>
  <c r="H13" i="97"/>
  <c r="P12"/>
  <c r="O12"/>
  <c r="I12"/>
  <c r="S14" i="130" s="1"/>
  <c r="T14" s="1"/>
  <c r="Z14" s="1"/>
  <c r="H12" i="97"/>
  <c r="P11"/>
  <c r="O11"/>
  <c r="N11"/>
  <c r="M11"/>
  <c r="I11"/>
  <c r="S13" i="130" s="1"/>
  <c r="T13" s="1"/>
  <c r="H11" i="97"/>
  <c r="Q13" i="130" s="1"/>
  <c r="R13" s="1"/>
  <c r="E11" i="97"/>
  <c r="P13" i="130" s="1"/>
  <c r="D11" i="97"/>
  <c r="P10"/>
  <c r="O10"/>
  <c r="N10"/>
  <c r="M10"/>
  <c r="I10"/>
  <c r="H10"/>
  <c r="Q12" i="130" s="1"/>
  <c r="R12" s="1"/>
  <c r="E10" i="97"/>
  <c r="P12" i="130" s="1"/>
  <c r="D10" i="97"/>
  <c r="P9"/>
  <c r="O9"/>
  <c r="N9"/>
  <c r="N17" s="1"/>
  <c r="N19" s="1"/>
  <c r="M9"/>
  <c r="M17" s="1"/>
  <c r="M19" s="1"/>
  <c r="I9"/>
  <c r="H9"/>
  <c r="H17" s="1"/>
  <c r="Q21" i="130" s="1"/>
  <c r="G9" i="97"/>
  <c r="G17" s="1"/>
  <c r="G19" s="1"/>
  <c r="G21" s="1"/>
  <c r="F9"/>
  <c r="E9"/>
  <c r="D9"/>
  <c r="G51" i="112"/>
  <c r="G40"/>
  <c r="E17" i="97" l="1"/>
  <c r="X25" i="130"/>
  <c r="H19" i="97"/>
  <c r="O17"/>
  <c r="O19" s="1"/>
  <c r="Q11" i="130"/>
  <c r="K12" i="145"/>
  <c r="K13"/>
  <c r="M12"/>
  <c r="M13"/>
  <c r="X11" i="130"/>
  <c r="Q24"/>
  <c r="Q26" s="1"/>
  <c r="Q28" s="1"/>
  <c r="S25" s="1"/>
  <c r="N21" i="97"/>
  <c r="N23"/>
  <c r="M22"/>
  <c r="M23" s="1"/>
  <c r="M21"/>
  <c r="H23"/>
  <c r="H21"/>
  <c r="O23"/>
  <c r="O21"/>
  <c r="D17"/>
  <c r="O21" i="130" s="1"/>
  <c r="V18"/>
  <c r="J20"/>
  <c r="J25"/>
  <c r="K25" s="1"/>
  <c r="L25" s="1"/>
  <c r="I20"/>
  <c r="J14"/>
  <c r="J13"/>
  <c r="J12"/>
  <c r="J11"/>
  <c r="M47"/>
  <c r="K47"/>
  <c r="J47"/>
  <c r="I47"/>
  <c r="H47"/>
  <c r="G47"/>
  <c r="F47"/>
  <c r="E47"/>
  <c r="M45"/>
  <c r="K45"/>
  <c r="J45"/>
  <c r="I45"/>
  <c r="H45"/>
  <c r="G45"/>
  <c r="F45"/>
  <c r="E45"/>
  <c r="M44"/>
  <c r="K44"/>
  <c r="J44"/>
  <c r="I44"/>
  <c r="H44"/>
  <c r="F44"/>
  <c r="E44"/>
  <c r="M43"/>
  <c r="K43"/>
  <c r="J43"/>
  <c r="I43"/>
  <c r="H43"/>
  <c r="G43"/>
  <c r="H42" s="1"/>
  <c r="F43"/>
  <c r="E43"/>
  <c r="M41"/>
  <c r="K41"/>
  <c r="J41"/>
  <c r="I41"/>
  <c r="H41"/>
  <c r="G41"/>
  <c r="F41"/>
  <c r="E41"/>
  <c r="M40"/>
  <c r="K40"/>
  <c r="J40"/>
  <c r="H40"/>
  <c r="G40"/>
  <c r="F40"/>
  <c r="E40"/>
  <c r="M39"/>
  <c r="K39"/>
  <c r="I39"/>
  <c r="H39"/>
  <c r="G39"/>
  <c r="F39"/>
  <c r="E39"/>
  <c r="M38"/>
  <c r="K38"/>
  <c r="J38"/>
  <c r="I38"/>
  <c r="H38"/>
  <c r="G38"/>
  <c r="F38"/>
  <c r="F29" s="1"/>
  <c r="E38"/>
  <c r="E29" s="1"/>
  <c r="M37"/>
  <c r="K37"/>
  <c r="G33"/>
  <c r="F33"/>
  <c r="E33"/>
  <c r="F30"/>
  <c r="G29"/>
  <c r="U25"/>
  <c r="H22"/>
  <c r="G22"/>
  <c r="F22"/>
  <c r="E22"/>
  <c r="F20"/>
  <c r="E20"/>
  <c r="E17"/>
  <c r="Y16"/>
  <c r="W16"/>
  <c r="V16"/>
  <c r="U16"/>
  <c r="F14"/>
  <c r="E14"/>
  <c r="E19" i="97" l="1"/>
  <c r="P21" i="130"/>
  <c r="P24" s="1"/>
  <c r="P26" s="1"/>
  <c r="P27" s="1"/>
  <c r="P28" s="1"/>
  <c r="K46"/>
  <c r="K48" s="1"/>
  <c r="K50" s="1"/>
  <c r="M46"/>
  <c r="M48" s="1"/>
  <c r="M50" s="1"/>
  <c r="D19" i="97"/>
  <c r="O24" i="130"/>
  <c r="O26" s="1"/>
  <c r="U14"/>
  <c r="V12"/>
  <c r="U17"/>
  <c r="U18"/>
  <c r="U13"/>
  <c r="V14"/>
  <c r="U19"/>
  <c r="U20"/>
  <c r="V22"/>
  <c r="V25"/>
  <c r="V11"/>
  <c r="U15"/>
  <c r="U11"/>
  <c r="V13"/>
  <c r="V20"/>
  <c r="E23" i="97" l="1"/>
  <c r="E21"/>
  <c r="O27" i="130"/>
  <c r="O28" s="1"/>
  <c r="D21" i="97"/>
  <c r="D22"/>
  <c r="D23" s="1"/>
  <c r="W25" i="130"/>
  <c r="K78" i="1" l="1"/>
  <c r="H12" l="1"/>
  <c r="F4" i="111"/>
  <c r="F3"/>
  <c r="E4"/>
  <c r="E3"/>
  <c r="D5" i="121" l="1"/>
  <c r="E7"/>
  <c r="D8"/>
  <c r="D11"/>
  <c r="E11"/>
  <c r="F11"/>
  <c r="G11"/>
  <c r="H11"/>
  <c r="H13"/>
  <c r="I13"/>
  <c r="J13"/>
  <c r="K13"/>
  <c r="D16"/>
  <c r="E16"/>
  <c r="F16"/>
  <c r="G16"/>
  <c r="D18"/>
  <c r="H18"/>
  <c r="I18"/>
  <c r="J18"/>
  <c r="D20"/>
  <c r="H20"/>
  <c r="D21"/>
  <c r="E21"/>
  <c r="G21"/>
  <c r="H21"/>
  <c r="I21"/>
  <c r="M61"/>
  <c r="N61"/>
  <c r="P61"/>
  <c r="Q61"/>
  <c r="R61"/>
  <c r="M62"/>
  <c r="N62"/>
  <c r="O62"/>
  <c r="P62"/>
  <c r="Q62"/>
  <c r="R62"/>
  <c r="S62"/>
  <c r="M63"/>
  <c r="N63"/>
  <c r="M64"/>
  <c r="N64"/>
  <c r="P64"/>
  <c r="M65"/>
  <c r="N65"/>
  <c r="P65"/>
  <c r="M66"/>
  <c r="N66"/>
  <c r="P66"/>
  <c r="M67"/>
  <c r="N67"/>
  <c r="P67"/>
  <c r="M68"/>
  <c r="N68"/>
  <c r="P68"/>
  <c r="N69"/>
  <c r="M70"/>
  <c r="N70"/>
  <c r="N71"/>
  <c r="P71"/>
  <c r="N72"/>
  <c r="P72"/>
  <c r="D73"/>
  <c r="D74"/>
  <c r="E74"/>
  <c r="F74"/>
  <c r="G74"/>
  <c r="N74"/>
  <c r="O74"/>
  <c r="M75"/>
  <c r="N75"/>
  <c r="N76"/>
  <c r="P76"/>
  <c r="N77"/>
  <c r="P77"/>
  <c r="N78"/>
  <c r="P78"/>
  <c r="N79"/>
  <c r="N80"/>
  <c r="N81"/>
  <c r="P81"/>
  <c r="N82"/>
  <c r="N83"/>
  <c r="N84"/>
  <c r="O84"/>
  <c r="P84"/>
  <c r="N85"/>
  <c r="O85"/>
  <c r="F89"/>
  <c r="H89"/>
  <c r="N103"/>
  <c r="O103"/>
  <c r="P103"/>
  <c r="Q103"/>
  <c r="R103"/>
  <c r="S103"/>
  <c r="T103"/>
  <c r="U103"/>
  <c r="N104"/>
  <c r="O104"/>
  <c r="P104"/>
  <c r="Q104"/>
  <c r="R104"/>
  <c r="S104"/>
  <c r="T104"/>
  <c r="U104"/>
  <c r="D105"/>
  <c r="F105"/>
  <c r="N105"/>
  <c r="O105"/>
  <c r="P105"/>
  <c r="R105"/>
  <c r="D106"/>
  <c r="F106"/>
  <c r="N106"/>
  <c r="O106"/>
  <c r="P106"/>
  <c r="R106"/>
  <c r="D107"/>
  <c r="F107"/>
  <c r="N107"/>
  <c r="O107"/>
  <c r="P107"/>
  <c r="R107"/>
  <c r="D108"/>
  <c r="F108"/>
  <c r="N108"/>
  <c r="O108"/>
  <c r="P108"/>
  <c r="R108"/>
  <c r="D109"/>
  <c r="F109"/>
  <c r="N109"/>
  <c r="O109"/>
  <c r="P109"/>
  <c r="R109"/>
  <c r="S109"/>
  <c r="U109"/>
  <c r="D110"/>
  <c r="F110"/>
  <c r="N110"/>
  <c r="O110"/>
  <c r="P110"/>
  <c r="R110"/>
  <c r="D111"/>
  <c r="F111"/>
  <c r="N111"/>
  <c r="O111"/>
  <c r="P111"/>
  <c r="R111"/>
  <c r="D112"/>
  <c r="F112"/>
  <c r="N112"/>
  <c r="O112"/>
  <c r="P112"/>
  <c r="R112"/>
  <c r="D113"/>
  <c r="F113"/>
  <c r="N113"/>
  <c r="O113"/>
  <c r="P113"/>
  <c r="R113"/>
  <c r="D114"/>
  <c r="F114"/>
  <c r="N114"/>
  <c r="O114"/>
  <c r="P114"/>
  <c r="R114"/>
  <c r="D115"/>
  <c r="F115"/>
  <c r="N115"/>
  <c r="O115"/>
  <c r="P115"/>
  <c r="R115"/>
  <c r="D116"/>
  <c r="F116"/>
  <c r="I116"/>
  <c r="N116"/>
  <c r="O116"/>
  <c r="P116"/>
  <c r="R116"/>
  <c r="D117"/>
  <c r="F117"/>
  <c r="G117"/>
  <c r="I117"/>
  <c r="N117"/>
  <c r="O117"/>
  <c r="P117"/>
  <c r="R117"/>
  <c r="D118"/>
  <c r="F118"/>
  <c r="N118"/>
  <c r="O118"/>
  <c r="P118"/>
  <c r="R118"/>
  <c r="U118"/>
  <c r="D119"/>
  <c r="F119"/>
  <c r="G119"/>
  <c r="I119"/>
  <c r="N119"/>
  <c r="O119"/>
  <c r="P119"/>
  <c r="R119"/>
  <c r="S119"/>
  <c r="U119"/>
  <c r="D120"/>
  <c r="F120"/>
  <c r="N120"/>
  <c r="O120"/>
  <c r="P120"/>
  <c r="R120"/>
  <c r="D121"/>
  <c r="F121"/>
  <c r="G121"/>
  <c r="H121"/>
  <c r="I121"/>
  <c r="N121"/>
  <c r="O121"/>
  <c r="P121"/>
  <c r="R121"/>
  <c r="S121"/>
  <c r="U121"/>
  <c r="D122"/>
  <c r="F122"/>
  <c r="G122"/>
  <c r="I122"/>
  <c r="N122"/>
  <c r="O122"/>
  <c r="P122"/>
  <c r="R122"/>
  <c r="N123"/>
  <c r="O123"/>
  <c r="D124"/>
  <c r="F124"/>
  <c r="N124"/>
  <c r="O124"/>
  <c r="P124"/>
  <c r="R124"/>
  <c r="S124"/>
  <c r="U124"/>
  <c r="E125"/>
  <c r="N125"/>
  <c r="O125"/>
  <c r="N126"/>
  <c r="O126"/>
  <c r="P126"/>
  <c r="R126"/>
  <c r="S126"/>
  <c r="U126"/>
  <c r="N127"/>
  <c r="O127"/>
  <c r="P127"/>
  <c r="R127"/>
  <c r="N128"/>
  <c r="O128"/>
  <c r="Q128"/>
  <c r="D132"/>
  <c r="D134"/>
  <c r="E145"/>
  <c r="E146"/>
  <c r="D159"/>
  <c r="D160"/>
  <c r="D161"/>
  <c r="D164"/>
  <c r="D165"/>
  <c r="E165"/>
  <c r="F165"/>
  <c r="E167"/>
  <c r="E168"/>
  <c r="F168"/>
  <c r="D174"/>
  <c r="E174"/>
  <c r="F174"/>
  <c r="D175"/>
  <c r="D177"/>
  <c r="D181"/>
  <c r="D182"/>
  <c r="D183"/>
  <c r="D184"/>
  <c r="D185"/>
  <c r="F185"/>
  <c r="D196"/>
  <c r="E198"/>
  <c r="D199"/>
  <c r="D206"/>
  <c r="D208"/>
  <c r="D209"/>
  <c r="E209"/>
  <c r="G209"/>
  <c r="O69" l="1"/>
  <c r="E140" l="1"/>
  <c r="D140"/>
  <c r="H4" i="92" l="1"/>
  <c r="E139" i="121"/>
  <c r="E144" s="1"/>
  <c r="G4" i="92"/>
  <c r="D139" i="121"/>
  <c r="D144" s="1"/>
  <c r="H20" i="6"/>
  <c r="H24" s="1"/>
  <c r="H13" i="113" l="1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G13"/>
  <c r="M41" i="1" l="1"/>
  <c r="S84" i="121" s="1"/>
  <c r="L16" i="6" l="1"/>
  <c r="M16" s="1"/>
  <c r="L12"/>
  <c r="M12" s="1"/>
  <c r="L11"/>
  <c r="M11" s="1"/>
  <c r="L15"/>
  <c r="M15" s="1"/>
  <c r="L13"/>
  <c r="M13" s="1"/>
  <c r="L14"/>
  <c r="M14" s="1"/>
  <c r="L10"/>
  <c r="M10" s="1"/>
  <c r="L36" i="7" l="1"/>
  <c r="T126" i="121" s="1"/>
  <c r="L14" i="7"/>
  <c r="T109" i="121" s="1"/>
  <c r="K13" i="7" l="1"/>
  <c r="S108" i="121" l="1"/>
  <c r="G108"/>
  <c r="E206"/>
  <c r="E18"/>
  <c r="F206"/>
  <c r="F18"/>
  <c r="E15"/>
  <c r="E204"/>
  <c r="K41" i="1"/>
  <c r="Q84" i="121" s="1"/>
  <c r="M34" i="1"/>
  <c r="S78" i="121" s="1"/>
  <c r="K34" i="1"/>
  <c r="Q78" i="121" s="1"/>
  <c r="K29" i="1"/>
  <c r="Q76" i="121" s="1"/>
  <c r="M22" i="1"/>
  <c r="S72" i="121" s="1"/>
  <c r="K22" i="1"/>
  <c r="Q72" i="121" s="1"/>
  <c r="M21" i="1"/>
  <c r="S71" i="121" s="1"/>
  <c r="K21" i="1"/>
  <c r="Q71" i="121" s="1"/>
  <c r="M16" i="1"/>
  <c r="S68" i="121" s="1"/>
  <c r="K16" i="1"/>
  <c r="Q68" i="121" s="1"/>
  <c r="M15" i="1"/>
  <c r="S67" i="121" s="1"/>
  <c r="K15" i="1"/>
  <c r="Q67" i="121" s="1"/>
  <c r="M12" i="1"/>
  <c r="K12"/>
  <c r="M11"/>
  <c r="S65" i="121" s="1"/>
  <c r="K11" i="1"/>
  <c r="Q65" i="121" s="1"/>
  <c r="M10" i="1"/>
  <c r="S64" i="121" s="1"/>
  <c r="K10" i="1"/>
  <c r="Q64" i="121" s="1"/>
  <c r="D46" i="118"/>
  <c r="D45"/>
  <c r="D44"/>
  <c r="D43"/>
  <c r="D42"/>
  <c r="D41"/>
  <c r="D40"/>
  <c r="D39"/>
  <c r="D38"/>
  <c r="D37"/>
  <c r="D36"/>
  <c r="D35"/>
  <c r="D34"/>
  <c r="D33"/>
  <c r="D32"/>
  <c r="D22"/>
  <c r="D21"/>
  <c r="D20"/>
  <c r="D19"/>
  <c r="D18"/>
  <c r="D17"/>
  <c r="D16"/>
  <c r="D15"/>
  <c r="D14"/>
  <c r="D13"/>
  <c r="D12"/>
  <c r="D11"/>
  <c r="D10"/>
  <c r="D9"/>
  <c r="D8"/>
  <c r="D4" i="120"/>
  <c r="S66" i="121" l="1"/>
  <c r="Q66"/>
  <c r="H29" i="54"/>
  <c r="I29" i="140" s="1"/>
  <c r="AB13" i="114"/>
  <c r="AB14" s="1"/>
  <c r="X13"/>
  <c r="X14" s="1"/>
  <c r="T13"/>
  <c r="T14" s="1"/>
  <c r="P13"/>
  <c r="P14" s="1"/>
  <c r="K13"/>
  <c r="K14" s="1"/>
  <c r="F49" i="7"/>
  <c r="G51"/>
  <c r="H51"/>
  <c r="I51"/>
  <c r="J51"/>
  <c r="I53" i="112" l="1"/>
  <c r="F164" i="121"/>
  <c r="M32" i="1"/>
  <c r="K32"/>
  <c r="K11" i="7"/>
  <c r="L22" i="119"/>
  <c r="M22" s="1"/>
  <c r="I22"/>
  <c r="I29" s="1"/>
  <c r="D190" i="121" s="1"/>
  <c r="L15" i="119"/>
  <c r="L23"/>
  <c r="M23" s="1"/>
  <c r="I23"/>
  <c r="K29"/>
  <c r="F190" i="121" s="1"/>
  <c r="J29" i="119"/>
  <c r="E190" i="121" s="1"/>
  <c r="H29" i="119"/>
  <c r="I22" i="130" s="1"/>
  <c r="G29" i="119"/>
  <c r="F29"/>
  <c r="E29"/>
  <c r="D29"/>
  <c r="L11"/>
  <c r="L12"/>
  <c r="L13"/>
  <c r="L14"/>
  <c r="L16"/>
  <c r="L17"/>
  <c r="L18"/>
  <c r="L19"/>
  <c r="L20"/>
  <c r="L21"/>
  <c r="L24"/>
  <c r="L25"/>
  <c r="L26"/>
  <c r="L27"/>
  <c r="L28"/>
  <c r="S106" i="121" l="1"/>
  <c r="G106"/>
  <c r="U22" i="130"/>
  <c r="Q77" i="121"/>
  <c r="L78" i="1"/>
  <c r="S77" i="121"/>
  <c r="N78" i="1"/>
  <c r="D204" i="121"/>
  <c r="D15"/>
  <c r="L29" i="119"/>
  <c r="K22" i="130" l="1"/>
  <c r="L75" i="1"/>
  <c r="M75" s="1"/>
  <c r="L77"/>
  <c r="M77" s="1"/>
  <c r="L76"/>
  <c r="M76" s="1"/>
  <c r="N75"/>
  <c r="N77"/>
  <c r="N76"/>
  <c r="G190" i="121"/>
  <c r="M16" i="119"/>
  <c r="M17"/>
  <c r="M19"/>
  <c r="M20"/>
  <c r="M21"/>
  <c r="M24"/>
  <c r="M25"/>
  <c r="M26"/>
  <c r="M28"/>
  <c r="D38"/>
  <c r="H38"/>
  <c r="M14"/>
  <c r="M13"/>
  <c r="M12"/>
  <c r="M11"/>
  <c r="C6"/>
  <c r="K22" i="6"/>
  <c r="W22" i="130" l="1"/>
  <c r="L22"/>
  <c r="X22" s="1"/>
  <c r="F15" i="121"/>
  <c r="F204"/>
  <c r="F38" i="119"/>
  <c r="M18"/>
  <c r="M29" s="1"/>
  <c r="E38"/>
  <c r="K35" i="1"/>
  <c r="Q79" i="121" s="1"/>
  <c r="M27" i="1"/>
  <c r="S74" i="121" s="1"/>
  <c r="K27" i="1"/>
  <c r="Q74" i="121" s="1"/>
  <c r="K19" i="1"/>
  <c r="Q69" i="121" s="1"/>
  <c r="J46" i="118"/>
  <c r="I46"/>
  <c r="T46" s="1"/>
  <c r="E46"/>
  <c r="H46" s="1"/>
  <c r="S46" s="1"/>
  <c r="J45"/>
  <c r="U45" s="1"/>
  <c r="I45"/>
  <c r="T45" s="1"/>
  <c r="E45"/>
  <c r="F45" s="1"/>
  <c r="T44"/>
  <c r="J44"/>
  <c r="U44" s="1"/>
  <c r="I44"/>
  <c r="E44"/>
  <c r="Q44" s="1"/>
  <c r="R44" s="1"/>
  <c r="Q43"/>
  <c r="R43" s="1"/>
  <c r="K43"/>
  <c r="V43" s="1"/>
  <c r="J43"/>
  <c r="U43" s="1"/>
  <c r="I43"/>
  <c r="T43" s="1"/>
  <c r="G43"/>
  <c r="F43"/>
  <c r="E43"/>
  <c r="H43" s="1"/>
  <c r="S43" s="1"/>
  <c r="J42"/>
  <c r="I42"/>
  <c r="T42" s="1"/>
  <c r="E42"/>
  <c r="K42" s="1"/>
  <c r="J41"/>
  <c r="I41"/>
  <c r="T41" s="1"/>
  <c r="E41"/>
  <c r="F41" s="1"/>
  <c r="U41"/>
  <c r="J40"/>
  <c r="U40" s="1"/>
  <c r="I40"/>
  <c r="T40" s="1"/>
  <c r="F40"/>
  <c r="E40"/>
  <c r="Q40" s="1"/>
  <c r="R40" s="1"/>
  <c r="J39"/>
  <c r="U39" s="1"/>
  <c r="I39"/>
  <c r="T39" s="1"/>
  <c r="E39"/>
  <c r="H39" s="1"/>
  <c r="S39" s="1"/>
  <c r="K38"/>
  <c r="V38" s="1"/>
  <c r="J38"/>
  <c r="I38"/>
  <c r="T38" s="1"/>
  <c r="H38"/>
  <c r="S38" s="1"/>
  <c r="G38"/>
  <c r="E38"/>
  <c r="J37"/>
  <c r="U37" s="1"/>
  <c r="I37"/>
  <c r="T37" s="1"/>
  <c r="E37"/>
  <c r="F37" s="1"/>
  <c r="T36"/>
  <c r="J36"/>
  <c r="U36" s="1"/>
  <c r="I36"/>
  <c r="E36"/>
  <c r="Q36" s="1"/>
  <c r="R36" s="1"/>
  <c r="J35"/>
  <c r="U35" s="1"/>
  <c r="I35"/>
  <c r="T35" s="1"/>
  <c r="E35"/>
  <c r="H35" s="1"/>
  <c r="S35" s="1"/>
  <c r="J34"/>
  <c r="I34"/>
  <c r="H34"/>
  <c r="S34" s="1"/>
  <c r="E34"/>
  <c r="J33"/>
  <c r="I33"/>
  <c r="T33" s="1"/>
  <c r="E33"/>
  <c r="F33" s="1"/>
  <c r="U33"/>
  <c r="J32"/>
  <c r="U32" s="1"/>
  <c r="I32"/>
  <c r="T32" s="1"/>
  <c r="F32"/>
  <c r="E32"/>
  <c r="Q32" s="1"/>
  <c r="D47"/>
  <c r="U22"/>
  <c r="J22"/>
  <c r="I22"/>
  <c r="E22"/>
  <c r="T22"/>
  <c r="J21"/>
  <c r="U21" s="1"/>
  <c r="I21"/>
  <c r="T21" s="1"/>
  <c r="U20"/>
  <c r="J20"/>
  <c r="I20"/>
  <c r="T20" s="1"/>
  <c r="U19"/>
  <c r="J19"/>
  <c r="I19"/>
  <c r="T19" s="1"/>
  <c r="E19"/>
  <c r="Q19" s="1"/>
  <c r="R19" s="1"/>
  <c r="J18"/>
  <c r="U18" s="1"/>
  <c r="I18"/>
  <c r="T18" s="1"/>
  <c r="E18"/>
  <c r="Q18" s="1"/>
  <c r="R18" s="1"/>
  <c r="J17"/>
  <c r="U17" s="1"/>
  <c r="I17"/>
  <c r="T17" s="1"/>
  <c r="U16"/>
  <c r="J16"/>
  <c r="I16"/>
  <c r="T16" s="1"/>
  <c r="U15"/>
  <c r="J15"/>
  <c r="I15"/>
  <c r="T15" s="1"/>
  <c r="E15"/>
  <c r="Q15" s="1"/>
  <c r="R15" s="1"/>
  <c r="J14"/>
  <c r="U14" s="1"/>
  <c r="I14"/>
  <c r="T14" s="1"/>
  <c r="E14"/>
  <c r="G14" s="1"/>
  <c r="J13"/>
  <c r="U13" s="1"/>
  <c r="I13"/>
  <c r="T13" s="1"/>
  <c r="U12"/>
  <c r="J12"/>
  <c r="I12"/>
  <c r="T12" s="1"/>
  <c r="U11"/>
  <c r="J11"/>
  <c r="I11"/>
  <c r="T11" s="1"/>
  <c r="J10"/>
  <c r="U10" s="1"/>
  <c r="I10"/>
  <c r="T10" s="1"/>
  <c r="E10"/>
  <c r="K10" s="1"/>
  <c r="V10" s="1"/>
  <c r="J9"/>
  <c r="U9" s="1"/>
  <c r="I9"/>
  <c r="T9" s="1"/>
  <c r="U8"/>
  <c r="J8"/>
  <c r="I8"/>
  <c r="T8" s="1"/>
  <c r="D23"/>
  <c r="D18" i="117"/>
  <c r="C18"/>
  <c r="E17"/>
  <c r="E16"/>
  <c r="E15"/>
  <c r="E14"/>
  <c r="E13"/>
  <c r="E12"/>
  <c r="E11"/>
  <c r="E10"/>
  <c r="E9"/>
  <c r="E8"/>
  <c r="E7"/>
  <c r="E6"/>
  <c r="E5"/>
  <c r="E4"/>
  <c r="E3"/>
  <c r="E18" s="1"/>
  <c r="M19" i="1"/>
  <c r="S69" i="121" s="1"/>
  <c r="M20" i="1"/>
  <c r="M28"/>
  <c r="M14" i="118" l="1"/>
  <c r="N14" s="1"/>
  <c r="G10"/>
  <c r="M10" s="1"/>
  <c r="L10" s="1"/>
  <c r="E11"/>
  <c r="K14"/>
  <c r="V14" s="1"/>
  <c r="G18"/>
  <c r="K18"/>
  <c r="V18" s="1"/>
  <c r="F42"/>
  <c r="M42" s="1"/>
  <c r="F44"/>
  <c r="H10"/>
  <c r="S10" s="1"/>
  <c r="Q10"/>
  <c r="R10" s="1"/>
  <c r="H14"/>
  <c r="S14" s="1"/>
  <c r="Q14"/>
  <c r="R14" s="1"/>
  <c r="G15"/>
  <c r="K15"/>
  <c r="V15" s="1"/>
  <c r="H18"/>
  <c r="S18" s="1"/>
  <c r="G19"/>
  <c r="M19" s="1"/>
  <c r="L19" s="1"/>
  <c r="K19"/>
  <c r="V19" s="1"/>
  <c r="G22"/>
  <c r="M22" s="1"/>
  <c r="K22"/>
  <c r="V22" s="1"/>
  <c r="F34"/>
  <c r="M34" s="1"/>
  <c r="G35"/>
  <c r="Q35"/>
  <c r="R35" s="1"/>
  <c r="F36"/>
  <c r="M38"/>
  <c r="N38" s="1"/>
  <c r="F39"/>
  <c r="K39"/>
  <c r="V39" s="1"/>
  <c r="G42"/>
  <c r="G46"/>
  <c r="K46"/>
  <c r="V46" s="1"/>
  <c r="F35"/>
  <c r="M35" s="1"/>
  <c r="K35"/>
  <c r="V35" s="1"/>
  <c r="H15"/>
  <c r="S15" s="1"/>
  <c r="H19"/>
  <c r="S19" s="1"/>
  <c r="H22"/>
  <c r="S22" s="1"/>
  <c r="Q22"/>
  <c r="R22" s="1"/>
  <c r="G34"/>
  <c r="K34"/>
  <c r="V34" s="1"/>
  <c r="F38"/>
  <c r="G39"/>
  <c r="M39" s="1"/>
  <c r="Q39"/>
  <c r="R39" s="1"/>
  <c r="H42"/>
  <c r="S42" s="1"/>
  <c r="M22" i="130"/>
  <c r="N22" s="1"/>
  <c r="Z22" s="1"/>
  <c r="H190" i="121"/>
  <c r="K36" i="1"/>
  <c r="Q80" i="121" s="1"/>
  <c r="G38" i="119"/>
  <c r="T23" i="118"/>
  <c r="U23"/>
  <c r="R32"/>
  <c r="N19"/>
  <c r="T47"/>
  <c r="U47"/>
  <c r="L38"/>
  <c r="V42"/>
  <c r="H33"/>
  <c r="S33" s="1"/>
  <c r="Q34"/>
  <c r="R34" s="1"/>
  <c r="U34"/>
  <c r="H37"/>
  <c r="S37" s="1"/>
  <c r="Q38"/>
  <c r="R38" s="1"/>
  <c r="U38"/>
  <c r="H41"/>
  <c r="S41" s="1"/>
  <c r="Q42"/>
  <c r="R42" s="1"/>
  <c r="U42"/>
  <c r="H45"/>
  <c r="S45" s="1"/>
  <c r="Q46"/>
  <c r="R46" s="1"/>
  <c r="U46"/>
  <c r="E8"/>
  <c r="E9"/>
  <c r="E12"/>
  <c r="E13"/>
  <c r="E16"/>
  <c r="E17"/>
  <c r="E20"/>
  <c r="E21"/>
  <c r="H32"/>
  <c r="S32" s="1"/>
  <c r="G33"/>
  <c r="K33"/>
  <c r="V33" s="1"/>
  <c r="Q33"/>
  <c r="R33" s="1"/>
  <c r="T34"/>
  <c r="H36"/>
  <c r="S36" s="1"/>
  <c r="G37"/>
  <c r="M37" s="1"/>
  <c r="K37"/>
  <c r="V37" s="1"/>
  <c r="Q37"/>
  <c r="R37" s="1"/>
  <c r="H40"/>
  <c r="S40" s="1"/>
  <c r="G41"/>
  <c r="K41"/>
  <c r="V41" s="1"/>
  <c r="Q41"/>
  <c r="R41" s="1"/>
  <c r="M43"/>
  <c r="H44"/>
  <c r="S44" s="1"/>
  <c r="G45"/>
  <c r="K45"/>
  <c r="V45" s="1"/>
  <c r="Q45"/>
  <c r="R45" s="1"/>
  <c r="F46"/>
  <c r="G32"/>
  <c r="K32"/>
  <c r="V32" s="1"/>
  <c r="G36"/>
  <c r="K36"/>
  <c r="V36" s="1"/>
  <c r="G40"/>
  <c r="K40"/>
  <c r="V40" s="1"/>
  <c r="G44"/>
  <c r="K44"/>
  <c r="V44" s="1"/>
  <c r="I13" i="58"/>
  <c r="H13"/>
  <c r="L14" i="114"/>
  <c r="M14"/>
  <c r="N14"/>
  <c r="O14"/>
  <c r="Q14"/>
  <c r="R14"/>
  <c r="S14"/>
  <c r="U14"/>
  <c r="V14"/>
  <c r="W14"/>
  <c r="Y14"/>
  <c r="Z14"/>
  <c r="AA14"/>
  <c r="H13" i="115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G13"/>
  <c r="E34" i="54"/>
  <c r="E33" s="1"/>
  <c r="L9" i="112"/>
  <c r="C8"/>
  <c r="H8"/>
  <c r="D17" s="1"/>
  <c r="H17" s="1"/>
  <c r="N8"/>
  <c r="O8" s="1"/>
  <c r="H9"/>
  <c r="N9"/>
  <c r="O9" s="1"/>
  <c r="H10"/>
  <c r="N10" s="1"/>
  <c r="O10" s="1"/>
  <c r="D11"/>
  <c r="F11"/>
  <c r="G11"/>
  <c r="I11"/>
  <c r="I13" s="1"/>
  <c r="K13"/>
  <c r="D18"/>
  <c r="H18" s="1"/>
  <c r="D19"/>
  <c r="H19" s="1"/>
  <c r="F20"/>
  <c r="G20"/>
  <c r="I20"/>
  <c r="I22" s="1"/>
  <c r="C26"/>
  <c r="F29"/>
  <c r="G29"/>
  <c r="I29"/>
  <c r="I31" s="1"/>
  <c r="E4" i="92"/>
  <c r="G19" i="93"/>
  <c r="F19"/>
  <c r="G18"/>
  <c r="C3" i="111"/>
  <c r="D3" s="1"/>
  <c r="F18" i="93"/>
  <c r="H6" i="92"/>
  <c r="L34" i="118" l="1"/>
  <c r="N34"/>
  <c r="N22"/>
  <c r="L22"/>
  <c r="N42"/>
  <c r="L42"/>
  <c r="M32"/>
  <c r="M45"/>
  <c r="M33"/>
  <c r="N33" s="1"/>
  <c r="N10"/>
  <c r="L14"/>
  <c r="M40"/>
  <c r="M18"/>
  <c r="M46"/>
  <c r="N46" s="1"/>
  <c r="M41"/>
  <c r="M15"/>
  <c r="Q11"/>
  <c r="R11" s="1"/>
  <c r="H11"/>
  <c r="S11" s="1"/>
  <c r="K11"/>
  <c r="V11" s="1"/>
  <c r="G11"/>
  <c r="G204" i="121"/>
  <c r="G15"/>
  <c r="I38" i="119"/>
  <c r="J38"/>
  <c r="N40" i="118"/>
  <c r="L40"/>
  <c r="N41"/>
  <c r="L41"/>
  <c r="N32"/>
  <c r="L32"/>
  <c r="N37"/>
  <c r="L37"/>
  <c r="L43"/>
  <c r="N43"/>
  <c r="Q16"/>
  <c r="R16" s="1"/>
  <c r="K16"/>
  <c r="V16" s="1"/>
  <c r="G16"/>
  <c r="H16"/>
  <c r="S16" s="1"/>
  <c r="L35"/>
  <c r="N35"/>
  <c r="G17"/>
  <c r="Q17"/>
  <c r="R17" s="1"/>
  <c r="K17"/>
  <c r="V17" s="1"/>
  <c r="H17"/>
  <c r="S17" s="1"/>
  <c r="Q9"/>
  <c r="R9" s="1"/>
  <c r="G9"/>
  <c r="M9" s="1"/>
  <c r="H9"/>
  <c r="S9" s="1"/>
  <c r="K9"/>
  <c r="V9" s="1"/>
  <c r="M44"/>
  <c r="M36"/>
  <c r="V47"/>
  <c r="R47"/>
  <c r="N45"/>
  <c r="L45"/>
  <c r="Q21"/>
  <c r="R21" s="1"/>
  <c r="K21"/>
  <c r="V21" s="1"/>
  <c r="G21"/>
  <c r="H21"/>
  <c r="S21" s="1"/>
  <c r="Q13"/>
  <c r="R13" s="1"/>
  <c r="K13"/>
  <c r="V13" s="1"/>
  <c r="G13"/>
  <c r="H13"/>
  <c r="S13" s="1"/>
  <c r="Q8"/>
  <c r="K8"/>
  <c r="V8" s="1"/>
  <c r="H8"/>
  <c r="S8" s="1"/>
  <c r="G8"/>
  <c r="M8" s="1"/>
  <c r="L39"/>
  <c r="N39"/>
  <c r="Q20"/>
  <c r="R20" s="1"/>
  <c r="K20"/>
  <c r="V20" s="1"/>
  <c r="G20"/>
  <c r="H20"/>
  <c r="S20" s="1"/>
  <c r="K12"/>
  <c r="V12" s="1"/>
  <c r="Q12"/>
  <c r="R12" s="1"/>
  <c r="G12"/>
  <c r="H12"/>
  <c r="S12" s="1"/>
  <c r="S47"/>
  <c r="Q47"/>
  <c r="D20" i="112"/>
  <c r="N11"/>
  <c r="H11"/>
  <c r="S18"/>
  <c r="J18"/>
  <c r="D27"/>
  <c r="H27" s="1"/>
  <c r="S19"/>
  <c r="J19"/>
  <c r="D28"/>
  <c r="P17"/>
  <c r="S17"/>
  <c r="H20"/>
  <c r="J17"/>
  <c r="D26"/>
  <c r="P19"/>
  <c r="Q19" s="1"/>
  <c r="P18"/>
  <c r="Q18" s="1"/>
  <c r="M53" i="50"/>
  <c r="L53"/>
  <c r="L18" i="35"/>
  <c r="M14" i="38"/>
  <c r="F177" i="121" s="1"/>
  <c r="L14" i="38"/>
  <c r="E177" i="121" s="1"/>
  <c r="C4" i="111"/>
  <c r="D4" s="1"/>
  <c r="F4" i="92"/>
  <c r="D46" i="90"/>
  <c r="D45"/>
  <c r="J44"/>
  <c r="I44"/>
  <c r="E44"/>
  <c r="H44" s="1"/>
  <c r="J43"/>
  <c r="I43"/>
  <c r="E43"/>
  <c r="H43" s="1"/>
  <c r="J42"/>
  <c r="I42"/>
  <c r="E42"/>
  <c r="H42" s="1"/>
  <c r="J41"/>
  <c r="I41"/>
  <c r="E41"/>
  <c r="H41" s="1"/>
  <c r="J40"/>
  <c r="I40"/>
  <c r="E40"/>
  <c r="H40" s="1"/>
  <c r="J39"/>
  <c r="I39"/>
  <c r="E39"/>
  <c r="H39" s="1"/>
  <c r="J38"/>
  <c r="I38"/>
  <c r="E38"/>
  <c r="H38" s="1"/>
  <c r="J37"/>
  <c r="I37"/>
  <c r="E37"/>
  <c r="H37" s="1"/>
  <c r="J36"/>
  <c r="I36"/>
  <c r="E36"/>
  <c r="H36" s="1"/>
  <c r="J35"/>
  <c r="I35"/>
  <c r="E35"/>
  <c r="H35" s="1"/>
  <c r="J34"/>
  <c r="I34"/>
  <c r="E34"/>
  <c r="H34" s="1"/>
  <c r="J33"/>
  <c r="I33"/>
  <c r="E33"/>
  <c r="J32"/>
  <c r="I32"/>
  <c r="E32"/>
  <c r="H32" s="1"/>
  <c r="J31"/>
  <c r="I31"/>
  <c r="E31"/>
  <c r="J30"/>
  <c r="I30"/>
  <c r="E30"/>
  <c r="H30" s="1"/>
  <c r="L52" i="50"/>
  <c r="K30" i="90" l="1"/>
  <c r="K32"/>
  <c r="K36"/>
  <c r="K44"/>
  <c r="G36"/>
  <c r="M36" s="1"/>
  <c r="L36" s="1"/>
  <c r="G40"/>
  <c r="G42"/>
  <c r="M21" i="118"/>
  <c r="L18"/>
  <c r="N18"/>
  <c r="L33"/>
  <c r="L46"/>
  <c r="M11"/>
  <c r="L15"/>
  <c r="N15"/>
  <c r="K34" i="90"/>
  <c r="K38"/>
  <c r="K40"/>
  <c r="K42"/>
  <c r="G30"/>
  <c r="G32"/>
  <c r="G34"/>
  <c r="M34" s="1"/>
  <c r="L34" s="1"/>
  <c r="G38"/>
  <c r="G44"/>
  <c r="M44" s="1"/>
  <c r="M13" i="118"/>
  <c r="M16"/>
  <c r="L16" s="1"/>
  <c r="D48" i="6"/>
  <c r="E152" i="121"/>
  <c r="M12" i="118"/>
  <c r="L12" s="1"/>
  <c r="M20"/>
  <c r="L20" s="1"/>
  <c r="E185" i="121"/>
  <c r="M18" i="35"/>
  <c r="E153" i="121"/>
  <c r="F153"/>
  <c r="D59" i="7"/>
  <c r="D98" i="121" s="1"/>
  <c r="D50" i="6"/>
  <c r="D81" i="121" s="1"/>
  <c r="E59" i="7"/>
  <c r="E98" i="121" s="1"/>
  <c r="E50" i="6"/>
  <c r="E81" i="121" s="1"/>
  <c r="L13" i="118"/>
  <c r="N13"/>
  <c r="N8"/>
  <c r="L8"/>
  <c r="N20"/>
  <c r="L21"/>
  <c r="N21"/>
  <c r="N9"/>
  <c r="L9"/>
  <c r="V23"/>
  <c r="S23"/>
  <c r="R8"/>
  <c r="R23" s="1"/>
  <c r="Q23"/>
  <c r="N36"/>
  <c r="L36"/>
  <c r="N44"/>
  <c r="L44"/>
  <c r="M17"/>
  <c r="H28" i="112"/>
  <c r="D40"/>
  <c r="H26"/>
  <c r="H29" s="1"/>
  <c r="D29"/>
  <c r="N20"/>
  <c r="Q17"/>
  <c r="N36" i="90"/>
  <c r="N44"/>
  <c r="L44"/>
  <c r="H31"/>
  <c r="H33"/>
  <c r="G31"/>
  <c r="K31"/>
  <c r="G33"/>
  <c r="K33"/>
  <c r="G35"/>
  <c r="K35"/>
  <c r="M35" s="1"/>
  <c r="G37"/>
  <c r="M37" s="1"/>
  <c r="K37"/>
  <c r="G39"/>
  <c r="K39"/>
  <c r="M39" s="1"/>
  <c r="G41"/>
  <c r="K41"/>
  <c r="M41"/>
  <c r="G43"/>
  <c r="K43"/>
  <c r="M32" l="1"/>
  <c r="M31"/>
  <c r="L31" s="1"/>
  <c r="N34"/>
  <c r="N12" i="118"/>
  <c r="N16"/>
  <c r="M30" i="90"/>
  <c r="M40"/>
  <c r="L11" i="118"/>
  <c r="N11"/>
  <c r="M43" i="90"/>
  <c r="L43" s="1"/>
  <c r="M33"/>
  <c r="M38"/>
  <c r="M42"/>
  <c r="N47" i="118"/>
  <c r="L17"/>
  <c r="N17"/>
  <c r="L35" i="90"/>
  <c r="N35"/>
  <c r="L33"/>
  <c r="N33"/>
  <c r="N39"/>
  <c r="L39"/>
  <c r="N31"/>
  <c r="N41"/>
  <c r="L41"/>
  <c r="N37"/>
  <c r="L37"/>
  <c r="N43" l="1"/>
  <c r="L30"/>
  <c r="N30"/>
  <c r="N42"/>
  <c r="L42"/>
  <c r="N23" i="118"/>
  <c r="N24" s="1"/>
  <c r="L38" i="90"/>
  <c r="N38"/>
  <c r="L40"/>
  <c r="N40"/>
  <c r="L32"/>
  <c r="N32"/>
  <c r="N45" s="1"/>
  <c r="N46" s="1"/>
  <c r="E6" i="104"/>
  <c r="D21"/>
  <c r="C17"/>
  <c r="D15"/>
  <c r="C12"/>
  <c r="D10"/>
  <c r="C5"/>
  <c r="D5" s="1"/>
  <c r="D4"/>
  <c r="E4" l="1"/>
  <c r="D20" l="1"/>
  <c r="D22" l="1"/>
  <c r="D24"/>
  <c r="D23"/>
  <c r="E20"/>
  <c r="D16" l="1"/>
  <c r="D17" s="1"/>
  <c r="E15" s="1"/>
  <c r="D11"/>
  <c r="D12" s="1"/>
  <c r="E10" s="1"/>
  <c r="E24" l="1"/>
  <c r="E23"/>
  <c r="E21"/>
  <c r="E16" l="1"/>
  <c r="E17" s="1"/>
  <c r="E22"/>
  <c r="E11"/>
  <c r="E12" s="1"/>
  <c r="K11" i="58" l="1"/>
  <c r="K13" s="1"/>
  <c r="F28" i="54"/>
  <c r="D163" i="121" s="1"/>
  <c r="I20" i="103" l="1"/>
  <c r="I21"/>
  <c r="J21"/>
  <c r="I11"/>
  <c r="I13"/>
  <c r="J13"/>
  <c r="K13"/>
  <c r="L13"/>
  <c r="E18"/>
  <c r="F18"/>
  <c r="G18"/>
  <c r="E20"/>
  <c r="E21"/>
  <c r="F21"/>
  <c r="H21"/>
  <c r="E16"/>
  <c r="F16"/>
  <c r="G16"/>
  <c r="H16"/>
  <c r="E11"/>
  <c r="F11"/>
  <c r="G11"/>
  <c r="H11"/>
  <c r="E5"/>
  <c r="F7"/>
  <c r="E8"/>
  <c r="L11" i="58"/>
  <c r="L12" i="31"/>
  <c r="D146" i="121" s="1"/>
  <c r="L13" i="31"/>
  <c r="J18" i="6"/>
  <c r="J20" s="1"/>
  <c r="G38" s="1"/>
  <c r="E88" i="121" s="1"/>
  <c r="H29" i="7"/>
  <c r="L24"/>
  <c r="L26"/>
  <c r="L11"/>
  <c r="AH6" i="79"/>
  <c r="S3"/>
  <c r="W10" s="1"/>
  <c r="Z10" s="1"/>
  <c r="S14"/>
  <c r="Q4"/>
  <c r="Q3"/>
  <c r="D24" i="90"/>
  <c r="O32" i="79"/>
  <c r="T4"/>
  <c r="N32"/>
  <c r="S4" s="1"/>
  <c r="O15"/>
  <c r="T3"/>
  <c r="O17"/>
  <c r="O18"/>
  <c r="R23"/>
  <c r="S23"/>
  <c r="G39" i="6"/>
  <c r="E89" i="121" s="1"/>
  <c r="T5" i="6"/>
  <c r="E171" i="37"/>
  <c r="J171"/>
  <c r="J172" s="1"/>
  <c r="J173" s="1"/>
  <c r="E172"/>
  <c r="E209" i="36"/>
  <c r="F209"/>
  <c r="F211" s="1"/>
  <c r="G209"/>
  <c r="H209"/>
  <c r="H211" s="1"/>
  <c r="I209"/>
  <c r="I211" s="1"/>
  <c r="J209"/>
  <c r="J211" s="1"/>
  <c r="G211"/>
  <c r="A244"/>
  <c r="I260"/>
  <c r="I298" s="1"/>
  <c r="I300" s="1"/>
  <c r="E298"/>
  <c r="F298"/>
  <c r="F300" s="1"/>
  <c r="G298"/>
  <c r="G300" s="1"/>
  <c r="H298"/>
  <c r="H300" s="1"/>
  <c r="H303" s="1"/>
  <c r="J298"/>
  <c r="J300" s="1"/>
  <c r="E332"/>
  <c r="G12" i="32"/>
  <c r="F24"/>
  <c r="G26"/>
  <c r="B33"/>
  <c r="B35"/>
  <c r="F35"/>
  <c r="G35"/>
  <c r="B36"/>
  <c r="F44"/>
  <c r="G44"/>
  <c r="H4" i="78"/>
  <c r="E5"/>
  <c r="E16" s="1"/>
  <c r="E18" s="1"/>
  <c r="C16"/>
  <c r="G16"/>
  <c r="I16"/>
  <c r="I18"/>
  <c r="E17"/>
  <c r="D68"/>
  <c r="D69" s="1"/>
  <c r="C80"/>
  <c r="D84"/>
  <c r="C96"/>
  <c r="D100"/>
  <c r="D101" s="1"/>
  <c r="E100"/>
  <c r="C112"/>
  <c r="H4" i="77"/>
  <c r="H5"/>
  <c r="I4"/>
  <c r="E5"/>
  <c r="I5"/>
  <c r="E6"/>
  <c r="E7"/>
  <c r="D10"/>
  <c r="E10"/>
  <c r="E11"/>
  <c r="E12"/>
  <c r="D13"/>
  <c r="E13"/>
  <c r="D14"/>
  <c r="C16"/>
  <c r="G16"/>
  <c r="K16"/>
  <c r="C32"/>
  <c r="G32"/>
  <c r="K32"/>
  <c r="D68"/>
  <c r="D69" s="1"/>
  <c r="E68"/>
  <c r="C80"/>
  <c r="D84"/>
  <c r="D85" s="1"/>
  <c r="E84"/>
  <c r="C96"/>
  <c r="D100"/>
  <c r="C112"/>
  <c r="N4" i="85"/>
  <c r="O4" s="1"/>
  <c r="P4"/>
  <c r="N5"/>
  <c r="O5"/>
  <c r="Q5" s="1"/>
  <c r="P5"/>
  <c r="N6"/>
  <c r="O6"/>
  <c r="Q6" s="1"/>
  <c r="P6"/>
  <c r="J7"/>
  <c r="K7"/>
  <c r="K43" s="1"/>
  <c r="L7"/>
  <c r="M7"/>
  <c r="N7"/>
  <c r="P7"/>
  <c r="N8"/>
  <c r="O8" s="1"/>
  <c r="P8"/>
  <c r="N9"/>
  <c r="O9" s="1"/>
  <c r="P9"/>
  <c r="N10"/>
  <c r="O10" s="1"/>
  <c r="P10"/>
  <c r="J11"/>
  <c r="K11"/>
  <c r="L11"/>
  <c r="P11"/>
  <c r="M11"/>
  <c r="N11"/>
  <c r="N12"/>
  <c r="O12"/>
  <c r="P12"/>
  <c r="Q12" s="1"/>
  <c r="N13"/>
  <c r="O13" s="1"/>
  <c r="Q13" s="1"/>
  <c r="P13"/>
  <c r="N14"/>
  <c r="O14" s="1"/>
  <c r="P14"/>
  <c r="J15"/>
  <c r="K15"/>
  <c r="L15"/>
  <c r="P15" s="1"/>
  <c r="M15"/>
  <c r="N16"/>
  <c r="O16" s="1"/>
  <c r="P16"/>
  <c r="O17"/>
  <c r="Q17" s="1"/>
  <c r="P17"/>
  <c r="N18"/>
  <c r="O18" s="1"/>
  <c r="P18"/>
  <c r="N19"/>
  <c r="P19"/>
  <c r="N20"/>
  <c r="O20" s="1"/>
  <c r="P20"/>
  <c r="J21"/>
  <c r="K21"/>
  <c r="L21"/>
  <c r="P21"/>
  <c r="M21"/>
  <c r="N22"/>
  <c r="O22" s="1"/>
  <c r="P22"/>
  <c r="N23"/>
  <c r="O23" s="1"/>
  <c r="P23"/>
  <c r="N24"/>
  <c r="O24" s="1"/>
  <c r="P24"/>
  <c r="N25"/>
  <c r="O25" s="1"/>
  <c r="P25"/>
  <c r="J26"/>
  <c r="K26"/>
  <c r="L26"/>
  <c r="M26"/>
  <c r="N27"/>
  <c r="O27"/>
  <c r="P27"/>
  <c r="N28"/>
  <c r="P28"/>
  <c r="N29"/>
  <c r="O29" s="1"/>
  <c r="P29"/>
  <c r="N30"/>
  <c r="O30" s="1"/>
  <c r="Q30" s="1"/>
  <c r="P30"/>
  <c r="J31"/>
  <c r="K31"/>
  <c r="L31"/>
  <c r="P31" s="1"/>
  <c r="M31"/>
  <c r="N32"/>
  <c r="N36" s="1"/>
  <c r="O32"/>
  <c r="P32"/>
  <c r="N33"/>
  <c r="O33"/>
  <c r="Q33"/>
  <c r="P33"/>
  <c r="N34"/>
  <c r="O34"/>
  <c r="Q34"/>
  <c r="P34"/>
  <c r="N35"/>
  <c r="O35"/>
  <c r="Q35"/>
  <c r="P35"/>
  <c r="J36"/>
  <c r="K36"/>
  <c r="L36"/>
  <c r="P36" s="1"/>
  <c r="M36"/>
  <c r="N37"/>
  <c r="P37"/>
  <c r="N38"/>
  <c r="O38" s="1"/>
  <c r="Q38" s="1"/>
  <c r="P38"/>
  <c r="N39"/>
  <c r="O39" s="1"/>
  <c r="Q39" s="1"/>
  <c r="P39"/>
  <c r="N40"/>
  <c r="O40"/>
  <c r="Q40" s="1"/>
  <c r="P40"/>
  <c r="N41"/>
  <c r="O41"/>
  <c r="P41"/>
  <c r="J42"/>
  <c r="K42"/>
  <c r="L42"/>
  <c r="M42"/>
  <c r="P42"/>
  <c r="H43"/>
  <c r="O45"/>
  <c r="R45" s="1"/>
  <c r="J48"/>
  <c r="O47"/>
  <c r="K48"/>
  <c r="M48"/>
  <c r="R49"/>
  <c r="O57"/>
  <c r="O59" s="1"/>
  <c r="N3" i="86"/>
  <c r="O3"/>
  <c r="Q3"/>
  <c r="P3"/>
  <c r="N4"/>
  <c r="O4"/>
  <c r="Q4"/>
  <c r="P4"/>
  <c r="J5"/>
  <c r="K5"/>
  <c r="L5"/>
  <c r="L48" s="1"/>
  <c r="N6"/>
  <c r="O6" s="1"/>
  <c r="Q6" s="1"/>
  <c r="P6"/>
  <c r="N7"/>
  <c r="O7" s="1"/>
  <c r="P7"/>
  <c r="J8"/>
  <c r="K8"/>
  <c r="L8"/>
  <c r="N8"/>
  <c r="O8" s="1"/>
  <c r="N9"/>
  <c r="O9" s="1"/>
  <c r="P9"/>
  <c r="N10"/>
  <c r="O10" s="1"/>
  <c r="Q10" s="1"/>
  <c r="P10"/>
  <c r="N11"/>
  <c r="O11" s="1"/>
  <c r="P11"/>
  <c r="Q11"/>
  <c r="J12"/>
  <c r="K12"/>
  <c r="L12"/>
  <c r="N12" s="1"/>
  <c r="O12" s="1"/>
  <c r="P12"/>
  <c r="N13"/>
  <c r="O13" s="1"/>
  <c r="P13"/>
  <c r="N14"/>
  <c r="O14" s="1"/>
  <c r="P14"/>
  <c r="N15"/>
  <c r="O15" s="1"/>
  <c r="Q15" s="1"/>
  <c r="P15"/>
  <c r="N16"/>
  <c r="O16" s="1"/>
  <c r="P16"/>
  <c r="N17"/>
  <c r="O17" s="1"/>
  <c r="Q17" s="1"/>
  <c r="P17"/>
  <c r="N18"/>
  <c r="O18" s="1"/>
  <c r="P18"/>
  <c r="N19"/>
  <c r="O19" s="1"/>
  <c r="Q19" s="1"/>
  <c r="P19"/>
  <c r="N20"/>
  <c r="O20" s="1"/>
  <c r="P20"/>
  <c r="J21"/>
  <c r="K21"/>
  <c r="L21"/>
  <c r="N21"/>
  <c r="O21" s="1"/>
  <c r="Q21" s="1"/>
  <c r="N22"/>
  <c r="O22" s="1"/>
  <c r="P22"/>
  <c r="N23"/>
  <c r="O23" s="1"/>
  <c r="Q23" s="1"/>
  <c r="P23"/>
  <c r="N24"/>
  <c r="O24" s="1"/>
  <c r="P24"/>
  <c r="N25"/>
  <c r="O25" s="1"/>
  <c r="P25"/>
  <c r="N26"/>
  <c r="O26" s="1"/>
  <c r="Q26" s="1"/>
  <c r="P26"/>
  <c r="N27"/>
  <c r="O27" s="1"/>
  <c r="P27"/>
  <c r="Q27" s="1"/>
  <c r="J28"/>
  <c r="K28"/>
  <c r="L28"/>
  <c r="N29"/>
  <c r="O29" s="1"/>
  <c r="P29"/>
  <c r="N30"/>
  <c r="O30" s="1"/>
  <c r="Q30" s="1"/>
  <c r="P30"/>
  <c r="J31"/>
  <c r="K31"/>
  <c r="L31"/>
  <c r="N32"/>
  <c r="O32"/>
  <c r="P32"/>
  <c r="N33"/>
  <c r="O33"/>
  <c r="P33"/>
  <c r="J34"/>
  <c r="K34"/>
  <c r="L34"/>
  <c r="P34" s="1"/>
  <c r="N34"/>
  <c r="O34" s="1"/>
  <c r="N35"/>
  <c r="O35" s="1"/>
  <c r="P35"/>
  <c r="N36"/>
  <c r="O36" s="1"/>
  <c r="Q36" s="1"/>
  <c r="P36"/>
  <c r="J37"/>
  <c r="K37"/>
  <c r="L37"/>
  <c r="N38"/>
  <c r="O38" s="1"/>
  <c r="P38"/>
  <c r="N39"/>
  <c r="O39" s="1"/>
  <c r="Q39" s="1"/>
  <c r="P39"/>
  <c r="J40"/>
  <c r="K40"/>
  <c r="L40"/>
  <c r="N41"/>
  <c r="O41" s="1"/>
  <c r="P41"/>
  <c r="N42"/>
  <c r="O42" s="1"/>
  <c r="Q42" s="1"/>
  <c r="P42"/>
  <c r="N43"/>
  <c r="O43" s="1"/>
  <c r="P43"/>
  <c r="N44"/>
  <c r="O44" s="1"/>
  <c r="Q44" s="1"/>
  <c r="P44"/>
  <c r="N45"/>
  <c r="O45" s="1"/>
  <c r="P45"/>
  <c r="N46"/>
  <c r="O46" s="1"/>
  <c r="Q46" s="1"/>
  <c r="P46"/>
  <c r="J47"/>
  <c r="K47"/>
  <c r="K48" s="1"/>
  <c r="L47"/>
  <c r="G48"/>
  <c r="M48"/>
  <c r="O3" i="76"/>
  <c r="D4"/>
  <c r="D5" s="1"/>
  <c r="D6" s="1"/>
  <c r="D7" s="1"/>
  <c r="D8" s="1"/>
  <c r="A8"/>
  <c r="O9"/>
  <c r="D10"/>
  <c r="D11" s="1"/>
  <c r="C16"/>
  <c r="G16"/>
  <c r="K16"/>
  <c r="C32"/>
  <c r="G32"/>
  <c r="K32"/>
  <c r="C48"/>
  <c r="G48"/>
  <c r="K48"/>
  <c r="C64"/>
  <c r="G64"/>
  <c r="K64"/>
  <c r="O3" i="75"/>
  <c r="D4"/>
  <c r="D5" s="1"/>
  <c r="D6" s="1"/>
  <c r="D7" s="1"/>
  <c r="D8" s="1"/>
  <c r="D9" s="1"/>
  <c r="D10" s="1"/>
  <c r="D11" s="1"/>
  <c r="C16"/>
  <c r="G16"/>
  <c r="K16"/>
  <c r="C32"/>
  <c r="G32"/>
  <c r="K32"/>
  <c r="C48"/>
  <c r="G48"/>
  <c r="P3" i="74"/>
  <c r="D4"/>
  <c r="D5"/>
  <c r="D6" s="1"/>
  <c r="D7" s="1"/>
  <c r="D8" s="1"/>
  <c r="D9" s="1"/>
  <c r="E10" s="1"/>
  <c r="C16"/>
  <c r="M9" i="112" s="1"/>
  <c r="Q9" s="1"/>
  <c r="G16" i="74"/>
  <c r="K16"/>
  <c r="O19"/>
  <c r="O20"/>
  <c r="O21"/>
  <c r="C32"/>
  <c r="G32"/>
  <c r="G51"/>
  <c r="D52"/>
  <c r="E52" s="1"/>
  <c r="F52"/>
  <c r="F64" s="1"/>
  <c r="F114" s="1"/>
  <c r="F53"/>
  <c r="F54"/>
  <c r="F55"/>
  <c r="F56"/>
  <c r="F57"/>
  <c r="F58"/>
  <c r="F59"/>
  <c r="F60"/>
  <c r="F61"/>
  <c r="F62"/>
  <c r="F63"/>
  <c r="C64"/>
  <c r="G67"/>
  <c r="D68"/>
  <c r="E68"/>
  <c r="H68" s="1"/>
  <c r="F68"/>
  <c r="F80" s="1"/>
  <c r="G80" s="1"/>
  <c r="F69"/>
  <c r="F70"/>
  <c r="F71"/>
  <c r="F72"/>
  <c r="F73"/>
  <c r="F74"/>
  <c r="F75"/>
  <c r="F76"/>
  <c r="F77"/>
  <c r="F78"/>
  <c r="F79"/>
  <c r="C80"/>
  <c r="G83"/>
  <c r="D84"/>
  <c r="F84"/>
  <c r="F96" s="1"/>
  <c r="G96" s="1"/>
  <c r="F85"/>
  <c r="F86"/>
  <c r="F87"/>
  <c r="F88"/>
  <c r="F89"/>
  <c r="F90"/>
  <c r="F91"/>
  <c r="F92"/>
  <c r="F93"/>
  <c r="F94"/>
  <c r="F95"/>
  <c r="C96"/>
  <c r="G99"/>
  <c r="D100"/>
  <c r="F100"/>
  <c r="F112" s="1"/>
  <c r="G112" s="1"/>
  <c r="F101"/>
  <c r="F102"/>
  <c r="F103"/>
  <c r="F104"/>
  <c r="F105"/>
  <c r="F106"/>
  <c r="F107"/>
  <c r="F108"/>
  <c r="F109"/>
  <c r="F110"/>
  <c r="F111"/>
  <c r="C112"/>
  <c r="P4" i="84"/>
  <c r="U4"/>
  <c r="U5" s="1"/>
  <c r="P5"/>
  <c r="P6"/>
  <c r="P7"/>
  <c r="P8"/>
  <c r="P9"/>
  <c r="P10"/>
  <c r="P11"/>
  <c r="P12"/>
  <c r="P13"/>
  <c r="P14"/>
  <c r="P15"/>
  <c r="P16"/>
  <c r="P17"/>
  <c r="P18"/>
  <c r="P19"/>
  <c r="J20"/>
  <c r="K20"/>
  <c r="L20"/>
  <c r="P21"/>
  <c r="P22"/>
  <c r="P23"/>
  <c r="J25"/>
  <c r="K25"/>
  <c r="L25"/>
  <c r="P25"/>
  <c r="P26"/>
  <c r="P27"/>
  <c r="P28"/>
  <c r="P29" s="1"/>
  <c r="J29"/>
  <c r="K29"/>
  <c r="L29"/>
  <c r="P30"/>
  <c r="J34"/>
  <c r="K34"/>
  <c r="L34"/>
  <c r="P34"/>
  <c r="P35"/>
  <c r="P36"/>
  <c r="P37"/>
  <c r="H38"/>
  <c r="P38"/>
  <c r="J39"/>
  <c r="K39"/>
  <c r="L39"/>
  <c r="M40"/>
  <c r="N40"/>
  <c r="O40"/>
  <c r="O4" i="83"/>
  <c r="R4"/>
  <c r="O5"/>
  <c r="R5" s="1"/>
  <c r="O6"/>
  <c r="R6"/>
  <c r="O7"/>
  <c r="R7" s="1"/>
  <c r="O8"/>
  <c r="R8" s="1"/>
  <c r="O9"/>
  <c r="R9" s="1"/>
  <c r="O10"/>
  <c r="R10" s="1"/>
  <c r="O11"/>
  <c r="R11" s="1"/>
  <c r="O12"/>
  <c r="R12" s="1"/>
  <c r="O13"/>
  <c r="R13" s="1"/>
  <c r="O14"/>
  <c r="R14"/>
  <c r="O15"/>
  <c r="R15" s="1"/>
  <c r="O16"/>
  <c r="R16" s="1"/>
  <c r="O17"/>
  <c r="R17" s="1"/>
  <c r="O18"/>
  <c r="R18" s="1"/>
  <c r="O19"/>
  <c r="R19" s="1"/>
  <c r="O20"/>
  <c r="R20"/>
  <c r="O21"/>
  <c r="R21" s="1"/>
  <c r="O22"/>
  <c r="R22"/>
  <c r="O23"/>
  <c r="R23" s="1"/>
  <c r="O24"/>
  <c r="R24" s="1"/>
  <c r="N25"/>
  <c r="O25" s="1"/>
  <c r="R25" s="1"/>
  <c r="N26"/>
  <c r="O26" s="1"/>
  <c r="R26" s="1"/>
  <c r="N27"/>
  <c r="O27"/>
  <c r="R27" s="1"/>
  <c r="N28"/>
  <c r="O28" s="1"/>
  <c r="R28" s="1"/>
  <c r="O29"/>
  <c r="R29" s="1"/>
  <c r="R30"/>
  <c r="R31"/>
  <c r="J32"/>
  <c r="K32"/>
  <c r="L32"/>
  <c r="M32"/>
  <c r="Q32"/>
  <c r="O33"/>
  <c r="R33"/>
  <c r="O34"/>
  <c r="R34" s="1"/>
  <c r="O35"/>
  <c r="R35" s="1"/>
  <c r="O36"/>
  <c r="R36" s="1"/>
  <c r="O37"/>
  <c r="R37" s="1"/>
  <c r="O38"/>
  <c r="R38" s="1"/>
  <c r="O39"/>
  <c r="R39"/>
  <c r="O40"/>
  <c r="R40" s="1"/>
  <c r="O41"/>
  <c r="R41"/>
  <c r="O42"/>
  <c r="R42" s="1"/>
  <c r="J43"/>
  <c r="K43"/>
  <c r="L43"/>
  <c r="M43"/>
  <c r="O44"/>
  <c r="R44" s="1"/>
  <c r="O45"/>
  <c r="R45"/>
  <c r="O46"/>
  <c r="R46" s="1"/>
  <c r="O47"/>
  <c r="R47"/>
  <c r="O48"/>
  <c r="R48" s="1"/>
  <c r="O49"/>
  <c r="R49" s="1"/>
  <c r="O50"/>
  <c r="R50" s="1"/>
  <c r="O51"/>
  <c r="R51" s="1"/>
  <c r="O52"/>
  <c r="R52" s="1"/>
  <c r="O53"/>
  <c r="R53"/>
  <c r="O54"/>
  <c r="R54" s="1"/>
  <c r="O55"/>
  <c r="R55"/>
  <c r="O56"/>
  <c r="R56" s="1"/>
  <c r="O57"/>
  <c r="R57" s="1"/>
  <c r="O58"/>
  <c r="R58" s="1"/>
  <c r="O59"/>
  <c r="R59" s="1"/>
  <c r="O60"/>
  <c r="R60" s="1"/>
  <c r="O61"/>
  <c r="R61"/>
  <c r="O62"/>
  <c r="R62" s="1"/>
  <c r="O63"/>
  <c r="R63"/>
  <c r="J64"/>
  <c r="K64"/>
  <c r="L64"/>
  <c r="M64"/>
  <c r="N64"/>
  <c r="Q64"/>
  <c r="O65"/>
  <c r="R65" s="1"/>
  <c r="O66"/>
  <c r="R66" s="1"/>
  <c r="O67"/>
  <c r="R67"/>
  <c r="O68"/>
  <c r="R68" s="1"/>
  <c r="O69"/>
  <c r="R69"/>
  <c r="O70"/>
  <c r="R70" s="1"/>
  <c r="O71"/>
  <c r="R71" s="1"/>
  <c r="O72"/>
  <c r="R72" s="1"/>
  <c r="O73"/>
  <c r="R73"/>
  <c r="O74"/>
  <c r="R74" s="1"/>
  <c r="O75"/>
  <c r="R75"/>
  <c r="O76"/>
  <c r="R76" s="1"/>
  <c r="O77"/>
  <c r="R77"/>
  <c r="O78"/>
  <c r="R78" s="1"/>
  <c r="O79"/>
  <c r="R79" s="1"/>
  <c r="O80"/>
  <c r="R80" s="1"/>
  <c r="O81"/>
  <c r="R81"/>
  <c r="J82"/>
  <c r="K82"/>
  <c r="L82"/>
  <c r="M82"/>
  <c r="Q82"/>
  <c r="O83"/>
  <c r="R83" s="1"/>
  <c r="O84"/>
  <c r="R84"/>
  <c r="O85"/>
  <c r="R85" s="1"/>
  <c r="O86"/>
  <c r="R86"/>
  <c r="O87"/>
  <c r="R87" s="1"/>
  <c r="O88"/>
  <c r="R88" s="1"/>
  <c r="O89"/>
  <c r="R89" s="1"/>
  <c r="O90"/>
  <c r="R90" s="1"/>
  <c r="O91"/>
  <c r="R91" s="1"/>
  <c r="O92"/>
  <c r="R92" s="1"/>
  <c r="O93"/>
  <c r="R93" s="1"/>
  <c r="O94"/>
  <c r="R94"/>
  <c r="O95"/>
  <c r="R95" s="1"/>
  <c r="R96"/>
  <c r="J97"/>
  <c r="L97"/>
  <c r="M97"/>
  <c r="O97" s="1"/>
  <c r="Q97"/>
  <c r="O98"/>
  <c r="R98" s="1"/>
  <c r="O99"/>
  <c r="R99" s="1"/>
  <c r="O100"/>
  <c r="R100"/>
  <c r="O101"/>
  <c r="R101" s="1"/>
  <c r="O102"/>
  <c r="R102"/>
  <c r="O103"/>
  <c r="R103" s="1"/>
  <c r="R104"/>
  <c r="J105"/>
  <c r="L105"/>
  <c r="M105"/>
  <c r="O105" s="1"/>
  <c r="H106"/>
  <c r="K106"/>
  <c r="K109" s="1"/>
  <c r="P106"/>
  <c r="F3" i="73"/>
  <c r="S3"/>
  <c r="Y3"/>
  <c r="F4"/>
  <c r="K4"/>
  <c r="M4"/>
  <c r="M5" s="1"/>
  <c r="N4"/>
  <c r="P4"/>
  <c r="R4"/>
  <c r="V4"/>
  <c r="W4"/>
  <c r="Z4" s="1"/>
  <c r="F5"/>
  <c r="K5"/>
  <c r="R5"/>
  <c r="V5"/>
  <c r="F6"/>
  <c r="K6"/>
  <c r="R6"/>
  <c r="V6"/>
  <c r="F7"/>
  <c r="K7"/>
  <c r="R7"/>
  <c r="V7"/>
  <c r="F8"/>
  <c r="K8"/>
  <c r="R8"/>
  <c r="V8"/>
  <c r="F9"/>
  <c r="K9"/>
  <c r="R9"/>
  <c r="V9"/>
  <c r="F10"/>
  <c r="K10"/>
  <c r="R10"/>
  <c r="V10"/>
  <c r="F11"/>
  <c r="K11"/>
  <c r="R11"/>
  <c r="V11"/>
  <c r="F12"/>
  <c r="K12"/>
  <c r="R12"/>
  <c r="V12"/>
  <c r="F13"/>
  <c r="K13"/>
  <c r="R13"/>
  <c r="V13"/>
  <c r="F14"/>
  <c r="J14"/>
  <c r="K14" s="1"/>
  <c r="R14"/>
  <c r="V14"/>
  <c r="F15"/>
  <c r="K15"/>
  <c r="R15"/>
  <c r="C16"/>
  <c r="D16"/>
  <c r="E16"/>
  <c r="E17" s="1"/>
  <c r="I16"/>
  <c r="L16"/>
  <c r="O16"/>
  <c r="D17"/>
  <c r="S19"/>
  <c r="K20"/>
  <c r="M20"/>
  <c r="N20" s="1"/>
  <c r="P20"/>
  <c r="P21" s="1"/>
  <c r="P22" s="1"/>
  <c r="Q20"/>
  <c r="R20"/>
  <c r="K21"/>
  <c r="M21"/>
  <c r="N22" s="1"/>
  <c r="R21"/>
  <c r="R32" s="1"/>
  <c r="V21"/>
  <c r="K22"/>
  <c r="R22"/>
  <c r="K23"/>
  <c r="R23"/>
  <c r="W23"/>
  <c r="W25"/>
  <c r="K24"/>
  <c r="R24"/>
  <c r="K25"/>
  <c r="R25"/>
  <c r="K26"/>
  <c r="R26"/>
  <c r="K27"/>
  <c r="R27"/>
  <c r="K28"/>
  <c r="R28"/>
  <c r="K29"/>
  <c r="R29"/>
  <c r="J30"/>
  <c r="R30"/>
  <c r="R31"/>
  <c r="I32"/>
  <c r="L32"/>
  <c r="O32"/>
  <c r="S35"/>
  <c r="K36"/>
  <c r="M36"/>
  <c r="N36"/>
  <c r="P36"/>
  <c r="R36"/>
  <c r="R48" s="1"/>
  <c r="K37"/>
  <c r="N37"/>
  <c r="R37"/>
  <c r="K38"/>
  <c r="R38"/>
  <c r="K39"/>
  <c r="R39"/>
  <c r="K40"/>
  <c r="R40"/>
  <c r="K41"/>
  <c r="R41"/>
  <c r="K42"/>
  <c r="R42"/>
  <c r="K43"/>
  <c r="R43"/>
  <c r="K44"/>
  <c r="R44"/>
  <c r="K45"/>
  <c r="R45"/>
  <c r="J46"/>
  <c r="K47" s="1"/>
  <c r="K46"/>
  <c r="R46"/>
  <c r="R47"/>
  <c r="I48"/>
  <c r="L48"/>
  <c r="O48"/>
  <c r="S51"/>
  <c r="K52"/>
  <c r="M52"/>
  <c r="P52"/>
  <c r="Q52"/>
  <c r="R52"/>
  <c r="R64" s="1"/>
  <c r="S64" s="1"/>
  <c r="K53"/>
  <c r="P53"/>
  <c r="Q53" s="1"/>
  <c r="R53"/>
  <c r="K54"/>
  <c r="P54"/>
  <c r="R54"/>
  <c r="K55"/>
  <c r="P55"/>
  <c r="R55"/>
  <c r="K56"/>
  <c r="R56"/>
  <c r="K57"/>
  <c r="R57"/>
  <c r="K58"/>
  <c r="R58"/>
  <c r="K59"/>
  <c r="R59"/>
  <c r="K60"/>
  <c r="R60"/>
  <c r="K61"/>
  <c r="R61"/>
  <c r="J62"/>
  <c r="K63" s="1"/>
  <c r="K62"/>
  <c r="R62"/>
  <c r="R63"/>
  <c r="I64"/>
  <c r="L64"/>
  <c r="O64"/>
  <c r="S67"/>
  <c r="K68"/>
  <c r="M68"/>
  <c r="P68"/>
  <c r="R68"/>
  <c r="K69"/>
  <c r="R69"/>
  <c r="K70"/>
  <c r="R70"/>
  <c r="K71"/>
  <c r="R71"/>
  <c r="K72"/>
  <c r="R72"/>
  <c r="K73"/>
  <c r="R73"/>
  <c r="K74"/>
  <c r="R74"/>
  <c r="K75"/>
  <c r="R75"/>
  <c r="K76"/>
  <c r="R76"/>
  <c r="K77"/>
  <c r="R77"/>
  <c r="J78"/>
  <c r="K79" s="1"/>
  <c r="K78"/>
  <c r="R78"/>
  <c r="R79"/>
  <c r="I80"/>
  <c r="L80"/>
  <c r="O80"/>
  <c r="S83"/>
  <c r="K84"/>
  <c r="M84"/>
  <c r="P84"/>
  <c r="Q84"/>
  <c r="R84"/>
  <c r="K85"/>
  <c r="P85"/>
  <c r="R85"/>
  <c r="K86"/>
  <c r="R86"/>
  <c r="K87"/>
  <c r="R87"/>
  <c r="K88"/>
  <c r="R88"/>
  <c r="K89"/>
  <c r="R89"/>
  <c r="K90"/>
  <c r="R90"/>
  <c r="K91"/>
  <c r="R91"/>
  <c r="K92"/>
  <c r="R92"/>
  <c r="K93"/>
  <c r="R93"/>
  <c r="J94"/>
  <c r="K95" s="1"/>
  <c r="K94"/>
  <c r="R94"/>
  <c r="R95"/>
  <c r="I96"/>
  <c r="L96"/>
  <c r="O96"/>
  <c r="S99"/>
  <c r="K100"/>
  <c r="M100"/>
  <c r="N100"/>
  <c r="P100"/>
  <c r="R100"/>
  <c r="K101"/>
  <c r="N101"/>
  <c r="R101"/>
  <c r="K102"/>
  <c r="R102"/>
  <c r="K103"/>
  <c r="R103"/>
  <c r="K104"/>
  <c r="R104"/>
  <c r="K105"/>
  <c r="R105"/>
  <c r="K106"/>
  <c r="R106"/>
  <c r="K107"/>
  <c r="R107"/>
  <c r="K108"/>
  <c r="R108"/>
  <c r="K109"/>
  <c r="R109"/>
  <c r="J110"/>
  <c r="K110"/>
  <c r="R110"/>
  <c r="K111"/>
  <c r="R111"/>
  <c r="R112" s="1"/>
  <c r="I112"/>
  <c r="L112"/>
  <c r="O112"/>
  <c r="D5" i="72"/>
  <c r="K5"/>
  <c r="R5"/>
  <c r="D6"/>
  <c r="K6"/>
  <c r="R6"/>
  <c r="D7"/>
  <c r="G7"/>
  <c r="K7"/>
  <c r="R7"/>
  <c r="D8"/>
  <c r="G8"/>
  <c r="K8"/>
  <c r="R8"/>
  <c r="B9"/>
  <c r="C9"/>
  <c r="E9"/>
  <c r="F9"/>
  <c r="H9"/>
  <c r="I9"/>
  <c r="J9"/>
  <c r="M9"/>
  <c r="Q9"/>
  <c r="R9"/>
  <c r="F12"/>
  <c r="K12" s="1"/>
  <c r="G12"/>
  <c r="H12"/>
  <c r="J12"/>
  <c r="F13"/>
  <c r="G13"/>
  <c r="H13"/>
  <c r="H16" s="1"/>
  <c r="J13"/>
  <c r="L13" s="1"/>
  <c r="N13" s="1"/>
  <c r="F14"/>
  <c r="G14"/>
  <c r="H14" s="1"/>
  <c r="J14"/>
  <c r="L14" s="1"/>
  <c r="N14" s="1"/>
  <c r="F15"/>
  <c r="G15"/>
  <c r="H15" s="1"/>
  <c r="K15" s="1"/>
  <c r="J15"/>
  <c r="L15"/>
  <c r="N15" s="1"/>
  <c r="D16"/>
  <c r="E16"/>
  <c r="I16"/>
  <c r="M16"/>
  <c r="F19"/>
  <c r="G19"/>
  <c r="H19"/>
  <c r="J19"/>
  <c r="F20"/>
  <c r="G20"/>
  <c r="H20"/>
  <c r="K20" s="1"/>
  <c r="J20"/>
  <c r="L20" s="1"/>
  <c r="N20" s="1"/>
  <c r="F21"/>
  <c r="G21"/>
  <c r="H21"/>
  <c r="K21" s="1"/>
  <c r="O21" s="1"/>
  <c r="J21"/>
  <c r="L21"/>
  <c r="N21"/>
  <c r="F22"/>
  <c r="F23" s="1"/>
  <c r="G22"/>
  <c r="H22"/>
  <c r="J22"/>
  <c r="L22" s="1"/>
  <c r="N22" s="1"/>
  <c r="D23"/>
  <c r="E23"/>
  <c r="I23"/>
  <c r="M23"/>
  <c r="F26"/>
  <c r="G26"/>
  <c r="H26" s="1"/>
  <c r="J26"/>
  <c r="L26" s="1"/>
  <c r="N26" s="1"/>
  <c r="F27"/>
  <c r="G27"/>
  <c r="H27"/>
  <c r="K27" s="1"/>
  <c r="J27"/>
  <c r="F28"/>
  <c r="G28"/>
  <c r="H28" s="1"/>
  <c r="J28"/>
  <c r="L28" s="1"/>
  <c r="N28" s="1"/>
  <c r="F29"/>
  <c r="G29"/>
  <c r="H29" s="1"/>
  <c r="K29" s="1"/>
  <c r="J29"/>
  <c r="L29"/>
  <c r="N29" s="1"/>
  <c r="O29" s="1"/>
  <c r="D30"/>
  <c r="D50" i="112" s="1"/>
  <c r="E30" i="72"/>
  <c r="G30" s="1"/>
  <c r="I30"/>
  <c r="M30"/>
  <c r="F33"/>
  <c r="G33"/>
  <c r="H33" s="1"/>
  <c r="J33"/>
  <c r="F34"/>
  <c r="G34"/>
  <c r="H34" s="1"/>
  <c r="J34"/>
  <c r="L34" s="1"/>
  <c r="N34" s="1"/>
  <c r="F35"/>
  <c r="G35"/>
  <c r="H35" s="1"/>
  <c r="H37" s="1"/>
  <c r="J35"/>
  <c r="L35"/>
  <c r="N35" s="1"/>
  <c r="F36"/>
  <c r="G36"/>
  <c r="H36" s="1"/>
  <c r="K36" s="1"/>
  <c r="O36" s="1"/>
  <c r="J36"/>
  <c r="L36"/>
  <c r="N36"/>
  <c r="D37"/>
  <c r="E37"/>
  <c r="I37"/>
  <c r="M37"/>
  <c r="F40"/>
  <c r="G40"/>
  <c r="H40" s="1"/>
  <c r="J40"/>
  <c r="J44" s="1"/>
  <c r="F41"/>
  <c r="G41"/>
  <c r="H41" s="1"/>
  <c r="J41"/>
  <c r="L41"/>
  <c r="N41" s="1"/>
  <c r="F42"/>
  <c r="K42" s="1"/>
  <c r="G42"/>
  <c r="H42"/>
  <c r="J42"/>
  <c r="L42"/>
  <c r="N42" s="1"/>
  <c r="F43"/>
  <c r="G43"/>
  <c r="H43"/>
  <c r="K43" s="1"/>
  <c r="O43" s="1"/>
  <c r="J43"/>
  <c r="L43" s="1"/>
  <c r="N43" s="1"/>
  <c r="D44"/>
  <c r="E44"/>
  <c r="I44"/>
  <c r="M44"/>
  <c r="F47"/>
  <c r="G47"/>
  <c r="H47"/>
  <c r="J47"/>
  <c r="L47" s="1"/>
  <c r="N47" s="1"/>
  <c r="F48"/>
  <c r="G48"/>
  <c r="H48" s="1"/>
  <c r="K48" s="1"/>
  <c r="J48"/>
  <c r="F49"/>
  <c r="G49"/>
  <c r="H49" s="1"/>
  <c r="J49"/>
  <c r="L49" s="1"/>
  <c r="N49" s="1"/>
  <c r="F50"/>
  <c r="G50"/>
  <c r="H50" s="1"/>
  <c r="K50" s="1"/>
  <c r="J50"/>
  <c r="L50" s="1"/>
  <c r="N50" s="1"/>
  <c r="O50" s="1"/>
  <c r="D51"/>
  <c r="E51"/>
  <c r="G51" s="1"/>
  <c r="I51"/>
  <c r="M51"/>
  <c r="F54"/>
  <c r="G54"/>
  <c r="H54" s="1"/>
  <c r="J54"/>
  <c r="F55"/>
  <c r="G55"/>
  <c r="H55" s="1"/>
  <c r="K55" s="1"/>
  <c r="O55" s="1"/>
  <c r="J55"/>
  <c r="L55" s="1"/>
  <c r="N55" s="1"/>
  <c r="F56"/>
  <c r="G56"/>
  <c r="H56" s="1"/>
  <c r="J56"/>
  <c r="L56"/>
  <c r="N56"/>
  <c r="F57"/>
  <c r="F58" s="1"/>
  <c r="G57"/>
  <c r="H57"/>
  <c r="J57"/>
  <c r="L57" s="1"/>
  <c r="N57" s="1"/>
  <c r="D58"/>
  <c r="G58" s="1"/>
  <c r="E58"/>
  <c r="I58"/>
  <c r="M58"/>
  <c r="F61"/>
  <c r="G61"/>
  <c r="H61"/>
  <c r="J61"/>
  <c r="J65" s="1"/>
  <c r="F62"/>
  <c r="G62"/>
  <c r="H62"/>
  <c r="J62"/>
  <c r="L62"/>
  <c r="N62"/>
  <c r="F63"/>
  <c r="G63"/>
  <c r="H63"/>
  <c r="J63"/>
  <c r="L63" s="1"/>
  <c r="N63" s="1"/>
  <c r="F64"/>
  <c r="G64"/>
  <c r="H64" s="1"/>
  <c r="J64"/>
  <c r="L64" s="1"/>
  <c r="N64" s="1"/>
  <c r="K64"/>
  <c r="O64" s="1"/>
  <c r="D65"/>
  <c r="E65"/>
  <c r="G65" s="1"/>
  <c r="I65"/>
  <c r="M65"/>
  <c r="D9" i="71"/>
  <c r="F9"/>
  <c r="G9"/>
  <c r="G12"/>
  <c r="G13"/>
  <c r="G14"/>
  <c r="D15"/>
  <c r="F15"/>
  <c r="G15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D45"/>
  <c r="E45"/>
  <c r="F45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D77"/>
  <c r="D83" s="1"/>
  <c r="E77"/>
  <c r="E83" s="1"/>
  <c r="F77"/>
  <c r="F83" s="1"/>
  <c r="G77"/>
  <c r="I77"/>
  <c r="I83" s="1"/>
  <c r="G79"/>
  <c r="H79"/>
  <c r="G81"/>
  <c r="H81"/>
  <c r="F9" i="62"/>
  <c r="D14" s="1"/>
  <c r="F14" s="1"/>
  <c r="F10"/>
  <c r="D15" s="1"/>
  <c r="F15" s="1"/>
  <c r="D23"/>
  <c r="H23"/>
  <c r="D32"/>
  <c r="H32"/>
  <c r="F9" i="81"/>
  <c r="F10"/>
  <c r="D15"/>
  <c r="F15" s="1"/>
  <c r="D14"/>
  <c r="F14" s="1"/>
  <c r="D23"/>
  <c r="H23"/>
  <c r="D32"/>
  <c r="H32"/>
  <c r="D8" i="60"/>
  <c r="D27"/>
  <c r="D28" s="1"/>
  <c r="G8" s="1"/>
  <c r="G27"/>
  <c r="C33"/>
  <c r="D33"/>
  <c r="E33"/>
  <c r="D41"/>
  <c r="H41"/>
  <c r="D51"/>
  <c r="H51"/>
  <c r="G4" i="88"/>
  <c r="S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G5"/>
  <c r="G6"/>
  <c r="F51" i="82" s="1"/>
  <c r="J6" i="88"/>
  <c r="R6" s="1"/>
  <c r="G7"/>
  <c r="F52" i="82" s="1"/>
  <c r="G8" i="88"/>
  <c r="J8"/>
  <c r="G9"/>
  <c r="G10"/>
  <c r="J10" s="1"/>
  <c r="M10" s="1"/>
  <c r="G11"/>
  <c r="G12"/>
  <c r="J12" s="1"/>
  <c r="G13"/>
  <c r="J13" s="1"/>
  <c r="M13" s="1"/>
  <c r="G14"/>
  <c r="G15"/>
  <c r="G16"/>
  <c r="F61" i="82" s="1"/>
  <c r="J16" i="88"/>
  <c r="M16" s="1"/>
  <c r="G17"/>
  <c r="G18"/>
  <c r="J18" s="1"/>
  <c r="G19"/>
  <c r="C20"/>
  <c r="D20"/>
  <c r="E20"/>
  <c r="C28"/>
  <c r="F20"/>
  <c r="H20"/>
  <c r="I20"/>
  <c r="K20"/>
  <c r="E28" s="1"/>
  <c r="L20"/>
  <c r="S20"/>
  <c r="D28"/>
  <c r="D34"/>
  <c r="D8" i="80"/>
  <c r="D27"/>
  <c r="D28" s="1"/>
  <c r="G8" s="1"/>
  <c r="G28" s="1"/>
  <c r="G27"/>
  <c r="C33"/>
  <c r="D33"/>
  <c r="E33"/>
  <c r="D41"/>
  <c r="H41"/>
  <c r="D51"/>
  <c r="H51"/>
  <c r="E3" i="64"/>
  <c r="E4"/>
  <c r="C5"/>
  <c r="D5"/>
  <c r="F5"/>
  <c r="G5"/>
  <c r="H5"/>
  <c r="E53" i="69"/>
  <c r="F53"/>
  <c r="G53"/>
  <c r="H53"/>
  <c r="K58"/>
  <c r="K59"/>
  <c r="K60"/>
  <c r="K61"/>
  <c r="K62"/>
  <c r="K63"/>
  <c r="K64"/>
  <c r="K65"/>
  <c r="K66"/>
  <c r="K67"/>
  <c r="K68"/>
  <c r="K69"/>
  <c r="E70"/>
  <c r="K70" s="1"/>
  <c r="F70"/>
  <c r="G70"/>
  <c r="H70"/>
  <c r="D82"/>
  <c r="D85" s="1"/>
  <c r="E82"/>
  <c r="F82"/>
  <c r="D83"/>
  <c r="E83"/>
  <c r="E85" s="1"/>
  <c r="F83"/>
  <c r="D84"/>
  <c r="E84"/>
  <c r="F84"/>
  <c r="F85" s="1"/>
  <c r="D89"/>
  <c r="E89"/>
  <c r="F89"/>
  <c r="F92" s="1"/>
  <c r="D90"/>
  <c r="E90"/>
  <c r="D2" i="93"/>
  <c r="E2"/>
  <c r="F2"/>
  <c r="H2"/>
  <c r="I2"/>
  <c r="J2"/>
  <c r="K2"/>
  <c r="L2"/>
  <c r="M2"/>
  <c r="N2"/>
  <c r="O2"/>
  <c r="P2"/>
  <c r="H11"/>
  <c r="I11"/>
  <c r="J11" s="1"/>
  <c r="K11" s="1"/>
  <c r="M11" s="1"/>
  <c r="N11"/>
  <c r="H12"/>
  <c r="J12"/>
  <c r="K12" s="1"/>
  <c r="N12"/>
  <c r="S13"/>
  <c r="F3" i="82"/>
  <c r="F4"/>
  <c r="H4"/>
  <c r="F5"/>
  <c r="H5"/>
  <c r="F6"/>
  <c r="H6"/>
  <c r="F7"/>
  <c r="H7"/>
  <c r="F8"/>
  <c r="H8"/>
  <c r="F9"/>
  <c r="H9"/>
  <c r="F10"/>
  <c r="H10"/>
  <c r="F11"/>
  <c r="H11"/>
  <c r="F12"/>
  <c r="H12"/>
  <c r="F13"/>
  <c r="H13"/>
  <c r="F14"/>
  <c r="H14"/>
  <c r="F15"/>
  <c r="D26" s="1"/>
  <c r="F16"/>
  <c r="F17"/>
  <c r="F18"/>
  <c r="F22"/>
  <c r="O22"/>
  <c r="F23"/>
  <c r="O23"/>
  <c r="F24"/>
  <c r="D25"/>
  <c r="F25" s="1"/>
  <c r="F27"/>
  <c r="F28"/>
  <c r="F29"/>
  <c r="F30"/>
  <c r="F31"/>
  <c r="F32"/>
  <c r="F33"/>
  <c r="F34"/>
  <c r="F35"/>
  <c r="E36"/>
  <c r="F36"/>
  <c r="F37"/>
  <c r="F38"/>
  <c r="F39"/>
  <c r="F40"/>
  <c r="F41"/>
  <c r="F42"/>
  <c r="F43"/>
  <c r="F44"/>
  <c r="F45"/>
  <c r="F46"/>
  <c r="F47"/>
  <c r="F48"/>
  <c r="C49"/>
  <c r="D49"/>
  <c r="E49"/>
  <c r="I49"/>
  <c r="A50"/>
  <c r="A51" s="1"/>
  <c r="A52" s="1"/>
  <c r="A53" s="1"/>
  <c r="A54" s="1"/>
  <c r="A55" s="1"/>
  <c r="A56" s="1"/>
  <c r="A57"/>
  <c r="A58" s="1"/>
  <c r="A59" s="1"/>
  <c r="A60" s="1"/>
  <c r="A61" s="1"/>
  <c r="A62" s="1"/>
  <c r="A63" s="1"/>
  <c r="A64" s="1"/>
  <c r="C50"/>
  <c r="D50"/>
  <c r="E50"/>
  <c r="I50"/>
  <c r="C51"/>
  <c r="D51"/>
  <c r="E51"/>
  <c r="I51"/>
  <c r="C52"/>
  <c r="D52"/>
  <c r="E52"/>
  <c r="I52"/>
  <c r="C53"/>
  <c r="D53"/>
  <c r="E53"/>
  <c r="F53"/>
  <c r="I53"/>
  <c r="C54"/>
  <c r="D54"/>
  <c r="E54"/>
  <c r="I54"/>
  <c r="C55"/>
  <c r="D55"/>
  <c r="E55"/>
  <c r="I55"/>
  <c r="C56"/>
  <c r="D56"/>
  <c r="E56"/>
  <c r="I56"/>
  <c r="C57"/>
  <c r="D57"/>
  <c r="E57"/>
  <c r="F57"/>
  <c r="I57"/>
  <c r="C58"/>
  <c r="D58"/>
  <c r="E58"/>
  <c r="I58"/>
  <c r="C59"/>
  <c r="D59"/>
  <c r="E59"/>
  <c r="I59"/>
  <c r="C60"/>
  <c r="D60"/>
  <c r="E60"/>
  <c r="I60"/>
  <c r="C61"/>
  <c r="D61"/>
  <c r="E61"/>
  <c r="I61"/>
  <c r="C62"/>
  <c r="D62"/>
  <c r="E62"/>
  <c r="I62"/>
  <c r="C63"/>
  <c r="D63"/>
  <c r="E63"/>
  <c r="F63"/>
  <c r="I63"/>
  <c r="C64"/>
  <c r="D64"/>
  <c r="E64"/>
  <c r="I64"/>
  <c r="N65"/>
  <c r="N96" s="1"/>
  <c r="F68"/>
  <c r="F69"/>
  <c r="F70"/>
  <c r="F71"/>
  <c r="F72"/>
  <c r="F73"/>
  <c r="F74"/>
  <c r="F75"/>
  <c r="F76"/>
  <c r="F77"/>
  <c r="F78"/>
  <c r="F79"/>
  <c r="C80"/>
  <c r="D8" i="93" s="1"/>
  <c r="D80" i="82"/>
  <c r="E8" i="93" s="1"/>
  <c r="E80" i="82"/>
  <c r="I80"/>
  <c r="I95" s="1"/>
  <c r="N80"/>
  <c r="F85"/>
  <c r="J85"/>
  <c r="K85" s="1"/>
  <c r="J87"/>
  <c r="C95"/>
  <c r="C97"/>
  <c r="D97"/>
  <c r="E97"/>
  <c r="I97"/>
  <c r="L97"/>
  <c r="N97"/>
  <c r="O97"/>
  <c r="I4" i="94"/>
  <c r="H4" s="1"/>
  <c r="I5"/>
  <c r="H5" s="1"/>
  <c r="I6"/>
  <c r="H6"/>
  <c r="I7"/>
  <c r="I8"/>
  <c r="H8"/>
  <c r="I9"/>
  <c r="I10"/>
  <c r="H10" s="1"/>
  <c r="I11"/>
  <c r="H11" s="1"/>
  <c r="I12"/>
  <c r="I13"/>
  <c r="H13" s="1"/>
  <c r="I14"/>
  <c r="H14" s="1"/>
  <c r="I15"/>
  <c r="I16"/>
  <c r="I17"/>
  <c r="U17"/>
  <c r="I18"/>
  <c r="U18"/>
  <c r="I22"/>
  <c r="I23"/>
  <c r="I24"/>
  <c r="I25"/>
  <c r="D26"/>
  <c r="D64" s="1"/>
  <c r="F26"/>
  <c r="F64" s="1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U46"/>
  <c r="I47"/>
  <c r="U47"/>
  <c r="I48"/>
  <c r="U48"/>
  <c r="I49"/>
  <c r="U49"/>
  <c r="I50"/>
  <c r="U50"/>
  <c r="I51"/>
  <c r="U51"/>
  <c r="I52"/>
  <c r="U52"/>
  <c r="I53"/>
  <c r="U53"/>
  <c r="I54"/>
  <c r="U54"/>
  <c r="I55"/>
  <c r="U55"/>
  <c r="I56"/>
  <c r="U56"/>
  <c r="I57"/>
  <c r="U57"/>
  <c r="I58"/>
  <c r="U58"/>
  <c r="I59"/>
  <c r="U59"/>
  <c r="I60"/>
  <c r="U60"/>
  <c r="AA60"/>
  <c r="I61"/>
  <c r="U61"/>
  <c r="AA61"/>
  <c r="I62"/>
  <c r="U62"/>
  <c r="I63"/>
  <c r="U63"/>
  <c r="J64"/>
  <c r="O64"/>
  <c r="N5" i="93" s="1"/>
  <c r="U64" i="94"/>
  <c r="AA64"/>
  <c r="I66"/>
  <c r="I67"/>
  <c r="I68"/>
  <c r="I69"/>
  <c r="I70"/>
  <c r="D71"/>
  <c r="C103" i="82"/>
  <c r="E71" i="94"/>
  <c r="E4" i="93" s="1"/>
  <c r="F71" i="94"/>
  <c r="E103" i="82"/>
  <c r="J71" i="94"/>
  <c r="O71"/>
  <c r="N4" i="93" s="1"/>
  <c r="O157" i="94"/>
  <c r="E161"/>
  <c r="E165" s="1"/>
  <c r="E162"/>
  <c r="E174"/>
  <c r="E182"/>
  <c r="I4" i="89"/>
  <c r="L4"/>
  <c r="Q4"/>
  <c r="R4"/>
  <c r="I5"/>
  <c r="L5"/>
  <c r="I6"/>
  <c r="L6" s="1"/>
  <c r="I7"/>
  <c r="L7" s="1"/>
  <c r="I8"/>
  <c r="L8" s="1"/>
  <c r="Q8"/>
  <c r="R8"/>
  <c r="I9"/>
  <c r="L9" s="1"/>
  <c r="Q9"/>
  <c r="R9"/>
  <c r="I10"/>
  <c r="L10" s="1"/>
  <c r="I11"/>
  <c r="R11" s="1"/>
  <c r="L11"/>
  <c r="I12"/>
  <c r="L12" s="1"/>
  <c r="I13"/>
  <c r="L13" s="1"/>
  <c r="Q13"/>
  <c r="R13"/>
  <c r="I14"/>
  <c r="L14" s="1"/>
  <c r="I15"/>
  <c r="R15" s="1"/>
  <c r="L15"/>
  <c r="I16"/>
  <c r="L16"/>
  <c r="Q16"/>
  <c r="R16"/>
  <c r="I17"/>
  <c r="L17"/>
  <c r="I18"/>
  <c r="I19"/>
  <c r="L19"/>
  <c r="R19"/>
  <c r="I20"/>
  <c r="L20"/>
  <c r="R20"/>
  <c r="D21"/>
  <c r="E21"/>
  <c r="F21"/>
  <c r="G21"/>
  <c r="H21"/>
  <c r="J21"/>
  <c r="K21"/>
  <c r="M21"/>
  <c r="F54" s="1"/>
  <c r="E154" i="94" s="1"/>
  <c r="E31" i="89"/>
  <c r="F31"/>
  <c r="G31"/>
  <c r="J31"/>
  <c r="I34"/>
  <c r="I35"/>
  <c r="K35"/>
  <c r="D36"/>
  <c r="E36"/>
  <c r="F36"/>
  <c r="G36"/>
  <c r="H36"/>
  <c r="J36"/>
  <c r="M36"/>
  <c r="G70" s="1"/>
  <c r="E43"/>
  <c r="G43"/>
  <c r="D55"/>
  <c r="F55"/>
  <c r="E153" i="94"/>
  <c r="D70" i="89"/>
  <c r="E70"/>
  <c r="I4" i="68"/>
  <c r="J4"/>
  <c r="S4"/>
  <c r="D5"/>
  <c r="I5"/>
  <c r="L5" s="1"/>
  <c r="J5"/>
  <c r="S5"/>
  <c r="I6"/>
  <c r="L6" s="1"/>
  <c r="J6"/>
  <c r="S6"/>
  <c r="I7"/>
  <c r="J7"/>
  <c r="J10" s="1"/>
  <c r="S7"/>
  <c r="I8"/>
  <c r="J8"/>
  <c r="L8"/>
  <c r="S8"/>
  <c r="I9"/>
  <c r="J9"/>
  <c r="S9"/>
  <c r="E10"/>
  <c r="S10"/>
  <c r="F10"/>
  <c r="G10"/>
  <c r="H10"/>
  <c r="K10"/>
  <c r="M10"/>
  <c r="N10"/>
  <c r="O10"/>
  <c r="S11"/>
  <c r="V11" s="1"/>
  <c r="T11"/>
  <c r="S12"/>
  <c r="T12"/>
  <c r="I13"/>
  <c r="J13"/>
  <c r="S13"/>
  <c r="S14"/>
  <c r="T14"/>
  <c r="V14"/>
  <c r="S15"/>
  <c r="T15"/>
  <c r="S16"/>
  <c r="T16"/>
  <c r="S17"/>
  <c r="T17"/>
  <c r="V17"/>
  <c r="S18"/>
  <c r="T18"/>
  <c r="S19"/>
  <c r="T19"/>
  <c r="S20"/>
  <c r="V20" s="1"/>
  <c r="T20"/>
  <c r="S21"/>
  <c r="T21"/>
  <c r="S22"/>
  <c r="T22"/>
  <c r="S23"/>
  <c r="T23"/>
  <c r="S24"/>
  <c r="T24"/>
  <c r="V24"/>
  <c r="S25"/>
  <c r="T25"/>
  <c r="V25"/>
  <c r="S26"/>
  <c r="V26" s="1"/>
  <c r="T26"/>
  <c r="S27"/>
  <c r="T27"/>
  <c r="S28"/>
  <c r="V28" s="1"/>
  <c r="T28"/>
  <c r="S29"/>
  <c r="V29" s="1"/>
  <c r="T29"/>
  <c r="S30"/>
  <c r="T30"/>
  <c r="S31"/>
  <c r="V31" s="1"/>
  <c r="T31"/>
  <c r="S32"/>
  <c r="T32"/>
  <c r="S33"/>
  <c r="T33"/>
  <c r="S34"/>
  <c r="T34"/>
  <c r="V34"/>
  <c r="S35"/>
  <c r="T35"/>
  <c r="V35"/>
  <c r="S36"/>
  <c r="V36" s="1"/>
  <c r="T36"/>
  <c r="S37"/>
  <c r="T37"/>
  <c r="S38"/>
  <c r="V38" s="1"/>
  <c r="T38"/>
  <c r="S39"/>
  <c r="T39"/>
  <c r="S40"/>
  <c r="T40"/>
  <c r="S41"/>
  <c r="T41"/>
  <c r="S42"/>
  <c r="T42"/>
  <c r="V42"/>
  <c r="S43"/>
  <c r="T43"/>
  <c r="S44"/>
  <c r="T44"/>
  <c r="I45"/>
  <c r="L45"/>
  <c r="S45"/>
  <c r="Y45"/>
  <c r="I46"/>
  <c r="L46"/>
  <c r="O46"/>
  <c r="S46"/>
  <c r="V46" s="1"/>
  <c r="Y46"/>
  <c r="I47"/>
  <c r="L47"/>
  <c r="S47"/>
  <c r="Z47"/>
  <c r="I48"/>
  <c r="L48"/>
  <c r="S48"/>
  <c r="I49"/>
  <c r="L49"/>
  <c r="S49"/>
  <c r="I50"/>
  <c r="L50" s="1"/>
  <c r="S50"/>
  <c r="I51"/>
  <c r="L51" s="1"/>
  <c r="S51"/>
  <c r="Y51"/>
  <c r="I52"/>
  <c r="L52" s="1"/>
  <c r="S52"/>
  <c r="Z52"/>
  <c r="I53"/>
  <c r="L53" s="1"/>
  <c r="S53"/>
  <c r="I54"/>
  <c r="L54" s="1"/>
  <c r="S54"/>
  <c r="S55"/>
  <c r="T55"/>
  <c r="I56"/>
  <c r="L56" s="1"/>
  <c r="O56" s="1"/>
  <c r="S56"/>
  <c r="Y56"/>
  <c r="I57"/>
  <c r="S57"/>
  <c r="Z57"/>
  <c r="I58"/>
  <c r="L58" s="1"/>
  <c r="S58"/>
  <c r="V58" s="1"/>
  <c r="I59"/>
  <c r="L59" s="1"/>
  <c r="S59"/>
  <c r="I60"/>
  <c r="L60"/>
  <c r="O60" s="1"/>
  <c r="S60"/>
  <c r="Y60"/>
  <c r="I61"/>
  <c r="L61" s="1"/>
  <c r="O61" s="1"/>
  <c r="S61"/>
  <c r="I62"/>
  <c r="L62"/>
  <c r="O62" s="1"/>
  <c r="S62"/>
  <c r="I63"/>
  <c r="L63" s="1"/>
  <c r="S63"/>
  <c r="I64"/>
  <c r="L64" s="1"/>
  <c r="S64"/>
  <c r="I65"/>
  <c r="L65" s="1"/>
  <c r="S65"/>
  <c r="I66"/>
  <c r="L66"/>
  <c r="Z66" s="1"/>
  <c r="S66"/>
  <c r="I67"/>
  <c r="L67"/>
  <c r="O67" s="1"/>
  <c r="S67"/>
  <c r="I68"/>
  <c r="L68" s="1"/>
  <c r="S68"/>
  <c r="S69"/>
  <c r="T69"/>
  <c r="I70"/>
  <c r="L70"/>
  <c r="S70"/>
  <c r="I71"/>
  <c r="L71" s="1"/>
  <c r="S71"/>
  <c r="I72"/>
  <c r="L72"/>
  <c r="Z72" s="1"/>
  <c r="S72"/>
  <c r="I73"/>
  <c r="L73" s="1"/>
  <c r="S73"/>
  <c r="I74"/>
  <c r="L74" s="1"/>
  <c r="O74" s="1"/>
  <c r="S74"/>
  <c r="I75"/>
  <c r="L75"/>
  <c r="S75"/>
  <c r="I76"/>
  <c r="L76"/>
  <c r="O76"/>
  <c r="S76"/>
  <c r="V76" s="1"/>
  <c r="I77"/>
  <c r="L77"/>
  <c r="S77"/>
  <c r="I78"/>
  <c r="L78" s="1"/>
  <c r="Z78" s="1"/>
  <c r="S78"/>
  <c r="I79"/>
  <c r="L79" s="1"/>
  <c r="S79"/>
  <c r="S80"/>
  <c r="T80"/>
  <c r="I81"/>
  <c r="L81" s="1"/>
  <c r="S81"/>
  <c r="I82"/>
  <c r="L82" s="1"/>
  <c r="S82"/>
  <c r="I83"/>
  <c r="L83" s="1"/>
  <c r="S83"/>
  <c r="I84"/>
  <c r="L84" s="1"/>
  <c r="S84"/>
  <c r="I85"/>
  <c r="L85"/>
  <c r="O85" s="1"/>
  <c r="S85"/>
  <c r="I86"/>
  <c r="S86"/>
  <c r="I87"/>
  <c r="L87" s="1"/>
  <c r="S87"/>
  <c r="I88"/>
  <c r="L88" s="1"/>
  <c r="S88"/>
  <c r="I89"/>
  <c r="L89"/>
  <c r="S89"/>
  <c r="I90"/>
  <c r="L90"/>
  <c r="S90"/>
  <c r="Y90"/>
  <c r="S91"/>
  <c r="T91"/>
  <c r="I92"/>
  <c r="L92" s="1"/>
  <c r="S92"/>
  <c r="Y92"/>
  <c r="E93"/>
  <c r="S93" s="1"/>
  <c r="F93"/>
  <c r="G93"/>
  <c r="H93"/>
  <c r="J93"/>
  <c r="K93"/>
  <c r="M93"/>
  <c r="N93"/>
  <c r="S94"/>
  <c r="T94"/>
  <c r="I95"/>
  <c r="L95" s="1"/>
  <c r="S95"/>
  <c r="I96"/>
  <c r="L96" s="1"/>
  <c r="S96"/>
  <c r="E97"/>
  <c r="S97" s="1"/>
  <c r="F97"/>
  <c r="G97"/>
  <c r="H97"/>
  <c r="J97"/>
  <c r="K97"/>
  <c r="M97"/>
  <c r="G132" s="1"/>
  <c r="G139" s="1"/>
  <c r="N97"/>
  <c r="Y97"/>
  <c r="S98"/>
  <c r="T98"/>
  <c r="S99"/>
  <c r="T99"/>
  <c r="S100"/>
  <c r="T100"/>
  <c r="V100"/>
  <c r="I101"/>
  <c r="S101"/>
  <c r="I102"/>
  <c r="T102" s="1"/>
  <c r="V102" s="1"/>
  <c r="L102"/>
  <c r="S102"/>
  <c r="E103"/>
  <c r="G119" s="1"/>
  <c r="S103"/>
  <c r="F103"/>
  <c r="G103"/>
  <c r="H103"/>
  <c r="J103"/>
  <c r="K103"/>
  <c r="M103"/>
  <c r="N103"/>
  <c r="Y103"/>
  <c r="G111"/>
  <c r="D120"/>
  <c r="G120"/>
  <c r="G123" s="1"/>
  <c r="D131"/>
  <c r="E132"/>
  <c r="E133"/>
  <c r="E140"/>
  <c r="D140"/>
  <c r="G140"/>
  <c r="D10" i="67"/>
  <c r="D18" s="1"/>
  <c r="E10"/>
  <c r="G10"/>
  <c r="G18" s="1"/>
  <c r="J10"/>
  <c r="J18" s="1"/>
  <c r="F18"/>
  <c r="H18"/>
  <c r="K18"/>
  <c r="O18"/>
  <c r="P18"/>
  <c r="U18"/>
  <c r="B26"/>
  <c r="E30"/>
  <c r="P30"/>
  <c r="E31"/>
  <c r="H31" s="1"/>
  <c r="P31"/>
  <c r="H32"/>
  <c r="N32"/>
  <c r="P32"/>
  <c r="D33"/>
  <c r="D38" s="1"/>
  <c r="F33"/>
  <c r="F38" s="1"/>
  <c r="G33"/>
  <c r="G38" s="1"/>
  <c r="I33"/>
  <c r="I38" s="1"/>
  <c r="J33"/>
  <c r="M33"/>
  <c r="M38" s="1"/>
  <c r="H34"/>
  <c r="P34"/>
  <c r="H35"/>
  <c r="P35"/>
  <c r="H36"/>
  <c r="P36"/>
  <c r="J38"/>
  <c r="H40"/>
  <c r="O40" s="1"/>
  <c r="N40"/>
  <c r="P40"/>
  <c r="G47"/>
  <c r="K47"/>
  <c r="P47" s="1"/>
  <c r="G48"/>
  <c r="K48"/>
  <c r="P48" s="1"/>
  <c r="S48" s="1"/>
  <c r="L48"/>
  <c r="O48" s="1"/>
  <c r="G49"/>
  <c r="L49" s="1"/>
  <c r="O49" s="1"/>
  <c r="K49"/>
  <c r="P49"/>
  <c r="S49" s="1"/>
  <c r="G50"/>
  <c r="L50" s="1"/>
  <c r="O50" s="1"/>
  <c r="K50"/>
  <c r="P50" s="1"/>
  <c r="S50" s="1"/>
  <c r="G51"/>
  <c r="L51" s="1"/>
  <c r="O51" s="1"/>
  <c r="K51"/>
  <c r="P51" s="1"/>
  <c r="S51" s="1"/>
  <c r="G52"/>
  <c r="K52"/>
  <c r="P52" s="1"/>
  <c r="S52" s="1"/>
  <c r="L52"/>
  <c r="O52" s="1"/>
  <c r="G53"/>
  <c r="L53" s="1"/>
  <c r="O53" s="1"/>
  <c r="K53"/>
  <c r="P53"/>
  <c r="S53" s="1"/>
  <c r="G54"/>
  <c r="L54" s="1"/>
  <c r="O54" s="1"/>
  <c r="K54"/>
  <c r="P54" s="1"/>
  <c r="S54" s="1"/>
  <c r="G55"/>
  <c r="L55" s="1"/>
  <c r="O55" s="1"/>
  <c r="K55"/>
  <c r="P55" s="1"/>
  <c r="S55" s="1"/>
  <c r="D56"/>
  <c r="E56"/>
  <c r="F56"/>
  <c r="F54" i="50" s="1"/>
  <c r="H56" i="67"/>
  <c r="J56"/>
  <c r="K56"/>
  <c r="M56"/>
  <c r="J53" i="50" s="1"/>
  <c r="N56" i="67"/>
  <c r="Q56"/>
  <c r="R56"/>
  <c r="H4" i="96"/>
  <c r="N4"/>
  <c r="H5"/>
  <c r="J5"/>
  <c r="W14" s="1"/>
  <c r="N5"/>
  <c r="D6"/>
  <c r="Q33" i="79" s="1"/>
  <c r="E6" i="96"/>
  <c r="F6"/>
  <c r="R33" i="79" s="1"/>
  <c r="G6" i="96"/>
  <c r="I6"/>
  <c r="K6"/>
  <c r="H7"/>
  <c r="N7"/>
  <c r="H8"/>
  <c r="J8"/>
  <c r="L8" s="1"/>
  <c r="N8"/>
  <c r="D9"/>
  <c r="E9"/>
  <c r="F9"/>
  <c r="R34" i="79" s="1"/>
  <c r="G9" i="96"/>
  <c r="I9"/>
  <c r="K9"/>
  <c r="Q13"/>
  <c r="R13"/>
  <c r="S13"/>
  <c r="T13"/>
  <c r="V13"/>
  <c r="X13"/>
  <c r="Q14"/>
  <c r="R14"/>
  <c r="S14"/>
  <c r="T14"/>
  <c r="V14"/>
  <c r="X14"/>
  <c r="D8" i="5"/>
  <c r="D9" s="1"/>
  <c r="E8"/>
  <c r="E9" s="1"/>
  <c r="F8"/>
  <c r="F9" s="1"/>
  <c r="G8"/>
  <c r="G9" s="1"/>
  <c r="H8"/>
  <c r="H9" s="1"/>
  <c r="C9"/>
  <c r="M20" i="79"/>
  <c r="M32"/>
  <c r="M36" s="1"/>
  <c r="Q34"/>
  <c r="F60"/>
  <c r="G60" s="1"/>
  <c r="G62" s="1"/>
  <c r="G74" s="1"/>
  <c r="E62"/>
  <c r="E74" s="1"/>
  <c r="F66"/>
  <c r="G66" s="1"/>
  <c r="G68" s="1"/>
  <c r="G75" s="1"/>
  <c r="E68"/>
  <c r="E75" s="1"/>
  <c r="E8" i="90"/>
  <c r="I8"/>
  <c r="J8"/>
  <c r="E9"/>
  <c r="I9"/>
  <c r="J9"/>
  <c r="E10"/>
  <c r="H10" s="1"/>
  <c r="I10"/>
  <c r="J10"/>
  <c r="E11"/>
  <c r="H11" s="1"/>
  <c r="F11"/>
  <c r="I11"/>
  <c r="J11"/>
  <c r="K11"/>
  <c r="E12"/>
  <c r="I12"/>
  <c r="J12"/>
  <c r="E13"/>
  <c r="G13" s="1"/>
  <c r="F13"/>
  <c r="I13"/>
  <c r="J13"/>
  <c r="E14"/>
  <c r="I14"/>
  <c r="J14"/>
  <c r="E15"/>
  <c r="F15" s="1"/>
  <c r="I15"/>
  <c r="J15"/>
  <c r="K15"/>
  <c r="E16"/>
  <c r="G16" s="1"/>
  <c r="F16"/>
  <c r="H16"/>
  <c r="I16"/>
  <c r="J16"/>
  <c r="E17"/>
  <c r="G17" s="1"/>
  <c r="F17"/>
  <c r="I17"/>
  <c r="J17"/>
  <c r="E18"/>
  <c r="I18"/>
  <c r="J18"/>
  <c r="E19"/>
  <c r="F19"/>
  <c r="G19"/>
  <c r="I19"/>
  <c r="J19"/>
  <c r="K19"/>
  <c r="E20"/>
  <c r="K20" s="1"/>
  <c r="G20"/>
  <c r="I20"/>
  <c r="J20"/>
  <c r="E21"/>
  <c r="F21" s="1"/>
  <c r="G21"/>
  <c r="I21"/>
  <c r="J21"/>
  <c r="E22"/>
  <c r="F22"/>
  <c r="G22"/>
  <c r="I22"/>
  <c r="J22"/>
  <c r="K22"/>
  <c r="D23"/>
  <c r="H4" i="91"/>
  <c r="J4" s="1"/>
  <c r="H5"/>
  <c r="J5"/>
  <c r="H6"/>
  <c r="J6" s="1"/>
  <c r="H7"/>
  <c r="J7" s="1"/>
  <c r="E10" i="49"/>
  <c r="E15"/>
  <c r="E19"/>
  <c r="F26"/>
  <c r="E30"/>
  <c r="E31"/>
  <c r="E32"/>
  <c r="F32" s="1"/>
  <c r="E44"/>
  <c r="E61"/>
  <c r="E87" s="1"/>
  <c r="E91" s="1"/>
  <c r="E98"/>
  <c r="D99"/>
  <c r="D103"/>
  <c r="E114"/>
  <c r="E129"/>
  <c r="E137"/>
  <c r="E148"/>
  <c r="E159" s="1"/>
  <c r="E157"/>
  <c r="H164"/>
  <c r="H165"/>
  <c r="E166"/>
  <c r="E170" s="1"/>
  <c r="F166"/>
  <c r="G166"/>
  <c r="G170" s="1"/>
  <c r="H166"/>
  <c r="H168"/>
  <c r="J168"/>
  <c r="K168"/>
  <c r="L168"/>
  <c r="M168"/>
  <c r="H169"/>
  <c r="F170"/>
  <c r="G175"/>
  <c r="G176"/>
  <c r="G177"/>
  <c r="E178"/>
  <c r="F178"/>
  <c r="F12" i="23" s="1"/>
  <c r="H183" i="49"/>
  <c r="H184"/>
  <c r="E185"/>
  <c r="E196" s="1"/>
  <c r="F185"/>
  <c r="G185"/>
  <c r="H187"/>
  <c r="H188"/>
  <c r="H189"/>
  <c r="H190"/>
  <c r="H191"/>
  <c r="H192"/>
  <c r="H193"/>
  <c r="E194"/>
  <c r="F194"/>
  <c r="G194"/>
  <c r="G196" s="1"/>
  <c r="E205"/>
  <c r="E229"/>
  <c r="E233" s="1"/>
  <c r="H238"/>
  <c r="H239"/>
  <c r="H240"/>
  <c r="E241"/>
  <c r="F241"/>
  <c r="G241"/>
  <c r="H241"/>
  <c r="D9" i="87"/>
  <c r="E9"/>
  <c r="F9"/>
  <c r="G15"/>
  <c r="G17"/>
  <c r="F5" i="95"/>
  <c r="F7"/>
  <c r="F8"/>
  <c r="F9" s="1"/>
  <c r="F11" i="58"/>
  <c r="E181" i="121"/>
  <c r="L12" i="58"/>
  <c r="L13" s="1"/>
  <c r="K27" i="130" s="1"/>
  <c r="D13" i="58"/>
  <c r="E13"/>
  <c r="J13"/>
  <c r="D15" i="47"/>
  <c r="D22" s="1"/>
  <c r="E15"/>
  <c r="E22" s="1"/>
  <c r="F15"/>
  <c r="F22" s="1"/>
  <c r="G15"/>
  <c r="G22" s="1"/>
  <c r="H15"/>
  <c r="D47" i="121" s="1"/>
  <c r="I15" i="47"/>
  <c r="E47" i="121" s="1"/>
  <c r="J15" i="47"/>
  <c r="K15"/>
  <c r="G47" i="121" s="1"/>
  <c r="L15" i="47"/>
  <c r="D52" i="121" s="1"/>
  <c r="M15" i="47"/>
  <c r="E52" i="121" s="1"/>
  <c r="N15" i="47"/>
  <c r="F52" i="121" s="1"/>
  <c r="O15" i="47"/>
  <c r="D16"/>
  <c r="E16"/>
  <c r="E23" s="1"/>
  <c r="F16"/>
  <c r="F23" s="1"/>
  <c r="G16"/>
  <c r="G23" s="1"/>
  <c r="H16"/>
  <c r="I16"/>
  <c r="J16"/>
  <c r="F48" i="121" s="1"/>
  <c r="K16" i="47"/>
  <c r="G48" i="121" s="1"/>
  <c r="L16" i="47"/>
  <c r="D53" i="121" s="1"/>
  <c r="M16" i="47"/>
  <c r="E53" i="121" s="1"/>
  <c r="N16" i="47"/>
  <c r="F53" i="121" s="1"/>
  <c r="O16" i="47"/>
  <c r="D23"/>
  <c r="F12" i="54"/>
  <c r="F13"/>
  <c r="F14"/>
  <c r="I14"/>
  <c r="D15"/>
  <c r="D18" s="1"/>
  <c r="E15" i="130" s="1"/>
  <c r="H15" i="54"/>
  <c r="H18" s="1"/>
  <c r="F16"/>
  <c r="E18"/>
  <c r="F15" i="130" s="1"/>
  <c r="D26" i="54"/>
  <c r="D27" s="1"/>
  <c r="D32" s="1"/>
  <c r="D30"/>
  <c r="D31" s="1"/>
  <c r="D34" s="1"/>
  <c r="H32"/>
  <c r="F15" i="35"/>
  <c r="I19"/>
  <c r="H18"/>
  <c r="E19"/>
  <c r="F17" i="130" s="1"/>
  <c r="F19" i="35"/>
  <c r="E54" i="79"/>
  <c r="M17" s="1"/>
  <c r="M22" s="1"/>
  <c r="D14" i="38"/>
  <c r="G14"/>
  <c r="H14"/>
  <c r="F11" i="31"/>
  <c r="E12"/>
  <c r="F12"/>
  <c r="E13"/>
  <c r="F13"/>
  <c r="D20"/>
  <c r="D11" s="1"/>
  <c r="D24"/>
  <c r="E24"/>
  <c r="F24"/>
  <c r="E12" i="23"/>
  <c r="I12"/>
  <c r="L12"/>
  <c r="D145" i="121" s="1"/>
  <c r="E13" i="23"/>
  <c r="F13"/>
  <c r="I13"/>
  <c r="L13"/>
  <c r="E14"/>
  <c r="F14"/>
  <c r="I14"/>
  <c r="L14"/>
  <c r="E15"/>
  <c r="F15"/>
  <c r="I15"/>
  <c r="L15"/>
  <c r="D16"/>
  <c r="H16"/>
  <c r="I16"/>
  <c r="J16"/>
  <c r="K16"/>
  <c r="M16"/>
  <c r="H5" i="92" s="1"/>
  <c r="H7" s="1"/>
  <c r="F51" i="112" s="1"/>
  <c r="F52" s="1"/>
  <c r="H25" i="54" s="1"/>
  <c r="I25" i="140" s="1"/>
  <c r="F11" i="30"/>
  <c r="L11"/>
  <c r="L13" s="1"/>
  <c r="K20" i="130" s="1"/>
  <c r="G12" i="30"/>
  <c r="G13"/>
  <c r="H20" i="130" s="1"/>
  <c r="L12" i="30"/>
  <c r="J13"/>
  <c r="K13"/>
  <c r="M13"/>
  <c r="M20" i="130" s="1"/>
  <c r="D10" i="50"/>
  <c r="D18" s="1"/>
  <c r="E10"/>
  <c r="G10"/>
  <c r="G18" s="1"/>
  <c r="J10"/>
  <c r="J18" s="1"/>
  <c r="F18"/>
  <c r="H18"/>
  <c r="K18"/>
  <c r="O18"/>
  <c r="P18"/>
  <c r="U18"/>
  <c r="B26"/>
  <c r="E30"/>
  <c r="H30"/>
  <c r="P30"/>
  <c r="E31"/>
  <c r="P31"/>
  <c r="H32"/>
  <c r="N32"/>
  <c r="P32"/>
  <c r="D33"/>
  <c r="D38" s="1"/>
  <c r="F33"/>
  <c r="G33"/>
  <c r="G38" s="1"/>
  <c r="I33"/>
  <c r="I38" s="1"/>
  <c r="J33"/>
  <c r="J38" s="1"/>
  <c r="M33"/>
  <c r="M38" s="1"/>
  <c r="H34"/>
  <c r="P34"/>
  <c r="H35"/>
  <c r="P35"/>
  <c r="H36"/>
  <c r="P36"/>
  <c r="F38"/>
  <c r="H40"/>
  <c r="N40"/>
  <c r="P40"/>
  <c r="F51"/>
  <c r="G14" i="130" s="1"/>
  <c r="F52" i="50"/>
  <c r="F53"/>
  <c r="J54"/>
  <c r="E55"/>
  <c r="E57" s="1"/>
  <c r="I55"/>
  <c r="E56"/>
  <c r="I56"/>
  <c r="J57"/>
  <c r="M57" s="1"/>
  <c r="L57"/>
  <c r="I57" s="1"/>
  <c r="F10" i="20"/>
  <c r="G10" s="1"/>
  <c r="F12"/>
  <c r="F13"/>
  <c r="G13" s="1"/>
  <c r="F14"/>
  <c r="G14" s="1"/>
  <c r="K14"/>
  <c r="D15"/>
  <c r="D16" s="1"/>
  <c r="E15"/>
  <c r="H15"/>
  <c r="H16" s="1"/>
  <c r="G10" i="32" s="1"/>
  <c r="I15" i="20"/>
  <c r="J15"/>
  <c r="J16" s="1"/>
  <c r="E16"/>
  <c r="I16"/>
  <c r="F10" i="7"/>
  <c r="G10" s="1"/>
  <c r="F11"/>
  <c r="G11" s="1"/>
  <c r="F12"/>
  <c r="F13"/>
  <c r="G13" s="1"/>
  <c r="F15"/>
  <c r="G15" s="1"/>
  <c r="F16"/>
  <c r="G16" s="1"/>
  <c r="F17"/>
  <c r="G17" s="1"/>
  <c r="F18"/>
  <c r="G18" s="1"/>
  <c r="G20"/>
  <c r="F21"/>
  <c r="G21" s="1"/>
  <c r="F22"/>
  <c r="G22" s="1"/>
  <c r="K23"/>
  <c r="F25"/>
  <c r="G25" s="1"/>
  <c r="K25"/>
  <c r="D29"/>
  <c r="D32" s="1"/>
  <c r="D35" s="1"/>
  <c r="D38" s="1"/>
  <c r="E13" i="130" s="1"/>
  <c r="E29" i="7"/>
  <c r="E32" s="1"/>
  <c r="E35" s="1"/>
  <c r="E38" s="1"/>
  <c r="F13" i="130" s="1"/>
  <c r="H32" i="7"/>
  <c r="L33"/>
  <c r="F36"/>
  <c r="G36" s="1"/>
  <c r="F52"/>
  <c r="F43" i="79" s="1"/>
  <c r="I67" i="7"/>
  <c r="I68"/>
  <c r="I69"/>
  <c r="I70"/>
  <c r="I71"/>
  <c r="I72"/>
  <c r="I73"/>
  <c r="D74"/>
  <c r="E74"/>
  <c r="F74"/>
  <c r="G74"/>
  <c r="H74"/>
  <c r="I78"/>
  <c r="K78" s="1"/>
  <c r="K81"/>
  <c r="D82"/>
  <c r="L82"/>
  <c r="L83" s="1"/>
  <c r="F86"/>
  <c r="I86" s="1"/>
  <c r="J86" s="1"/>
  <c r="K86" s="1"/>
  <c r="L86" s="1"/>
  <c r="F87"/>
  <c r="I87" s="1"/>
  <c r="J87" s="1"/>
  <c r="K87" s="1"/>
  <c r="L87" s="1"/>
  <c r="F88"/>
  <c r="I88" s="1"/>
  <c r="F89"/>
  <c r="I89" s="1"/>
  <c r="J89" s="1"/>
  <c r="K89" s="1"/>
  <c r="L89" s="1"/>
  <c r="F90"/>
  <c r="I90" s="1"/>
  <c r="J90" s="1"/>
  <c r="K90" s="1"/>
  <c r="L90" s="1"/>
  <c r="D91"/>
  <c r="D10" i="6"/>
  <c r="F10"/>
  <c r="G10" s="1"/>
  <c r="D11"/>
  <c r="F11"/>
  <c r="F12"/>
  <c r="G12" s="1"/>
  <c r="F13"/>
  <c r="G13" s="1"/>
  <c r="F14"/>
  <c r="G14" s="1"/>
  <c r="F15"/>
  <c r="G15" s="1"/>
  <c r="F16"/>
  <c r="G16" s="1"/>
  <c r="E20"/>
  <c r="E24" s="1"/>
  <c r="E27" s="1"/>
  <c r="F12" i="130" s="1"/>
  <c r="G22" i="6"/>
  <c r="H27"/>
  <c r="I12" i="130" s="1"/>
  <c r="E41" i="6"/>
  <c r="G41"/>
  <c r="E91" i="121" s="1"/>
  <c r="F10" i="1"/>
  <c r="G10" s="1"/>
  <c r="F11"/>
  <c r="G11" s="1"/>
  <c r="F12"/>
  <c r="G12" s="1"/>
  <c r="F15"/>
  <c r="G15" s="1"/>
  <c r="F16"/>
  <c r="G16" s="1"/>
  <c r="D19"/>
  <c r="E19"/>
  <c r="H19"/>
  <c r="E21"/>
  <c r="F21"/>
  <c r="G21" s="1"/>
  <c r="E22"/>
  <c r="F24"/>
  <c r="G24" s="1"/>
  <c r="D27"/>
  <c r="H27"/>
  <c r="E29"/>
  <c r="E32"/>
  <c r="F32"/>
  <c r="G32" s="1"/>
  <c r="G35" s="1"/>
  <c r="E34"/>
  <c r="D35"/>
  <c r="H35"/>
  <c r="F37"/>
  <c r="G37" s="1"/>
  <c r="H66"/>
  <c r="F70" i="121" s="1"/>
  <c r="L41" i="1"/>
  <c r="R84" i="121" s="1"/>
  <c r="D45" i="1"/>
  <c r="D46"/>
  <c r="D47"/>
  <c r="D50"/>
  <c r="D66"/>
  <c r="E66"/>
  <c r="F66"/>
  <c r="D70" i="121" s="1"/>
  <c r="G66" i="1"/>
  <c r="E70" i="121" s="1"/>
  <c r="F67" i="1"/>
  <c r="D71" i="121" s="1"/>
  <c r="E8" i="27"/>
  <c r="F8"/>
  <c r="E9"/>
  <c r="F9" s="1"/>
  <c r="D10"/>
  <c r="D12" s="1"/>
  <c r="F13"/>
  <c r="E19"/>
  <c r="E21"/>
  <c r="E23" s="1"/>
  <c r="E25" s="1"/>
  <c r="E34"/>
  <c r="D38"/>
  <c r="D47"/>
  <c r="E47"/>
  <c r="D7" i="44"/>
  <c r="J7" s="1"/>
  <c r="J8" s="1"/>
  <c r="J10" s="1"/>
  <c r="J11" s="1"/>
  <c r="D5"/>
  <c r="E5"/>
  <c r="F5"/>
  <c r="E7"/>
  <c r="E8" s="1"/>
  <c r="E10" s="1"/>
  <c r="E11" s="1"/>
  <c r="E12" s="1"/>
  <c r="F7"/>
  <c r="F8" s="1"/>
  <c r="F10" s="1"/>
  <c r="F11" s="1"/>
  <c r="K7"/>
  <c r="K8" s="1"/>
  <c r="L7"/>
  <c r="L8" s="1"/>
  <c r="T67" i="68"/>
  <c r="O77"/>
  <c r="T77"/>
  <c r="Z77"/>
  <c r="O45"/>
  <c r="T45"/>
  <c r="I104" i="82"/>
  <c r="H12" i="94"/>
  <c r="N9" i="93"/>
  <c r="M12" i="88"/>
  <c r="R12"/>
  <c r="M8"/>
  <c r="R8"/>
  <c r="J4"/>
  <c r="F49" i="82"/>
  <c r="E20" i="31"/>
  <c r="E26" s="1"/>
  <c r="E27" s="1"/>
  <c r="H21" i="90"/>
  <c r="H19"/>
  <c r="H17"/>
  <c r="H15"/>
  <c r="H13"/>
  <c r="Z85" i="68"/>
  <c r="T81"/>
  <c r="Z76"/>
  <c r="T76"/>
  <c r="Z62"/>
  <c r="T62"/>
  <c r="V62" s="1"/>
  <c r="T50"/>
  <c r="T46"/>
  <c r="R35" i="89"/>
  <c r="O146" i="94"/>
  <c r="O72"/>
  <c r="N103" i="82"/>
  <c r="F4" i="93"/>
  <c r="F44" i="72"/>
  <c r="J19" i="88"/>
  <c r="F64" i="82"/>
  <c r="J17" i="88"/>
  <c r="R17" s="1"/>
  <c r="M17"/>
  <c r="F62" i="82"/>
  <c r="J15" i="88"/>
  <c r="M15"/>
  <c r="R15"/>
  <c r="F60" i="82"/>
  <c r="F58"/>
  <c r="J11" i="88"/>
  <c r="M11" s="1"/>
  <c r="R11"/>
  <c r="F56" i="82"/>
  <c r="J5" i="88"/>
  <c r="M5" s="1"/>
  <c r="F50" i="82"/>
  <c r="N104"/>
  <c r="N112" s="1"/>
  <c r="D103"/>
  <c r="I5" i="93"/>
  <c r="D4"/>
  <c r="F30" i="72"/>
  <c r="Q22" i="73"/>
  <c r="T22" s="1"/>
  <c r="Q23"/>
  <c r="P23"/>
  <c r="G83" i="71"/>
  <c r="F46"/>
  <c r="E100" i="74"/>
  <c r="G100"/>
  <c r="E84"/>
  <c r="G84"/>
  <c r="D85"/>
  <c r="H52"/>
  <c r="E12" i="75"/>
  <c r="D12"/>
  <c r="D13" s="1"/>
  <c r="D14" s="1"/>
  <c r="K112" i="73"/>
  <c r="J111"/>
  <c r="J95"/>
  <c r="J79"/>
  <c r="K64"/>
  <c r="K48"/>
  <c r="J47"/>
  <c r="M22"/>
  <c r="S22" s="1"/>
  <c r="Q21"/>
  <c r="T21" s="1"/>
  <c r="N21"/>
  <c r="S20"/>
  <c r="N6"/>
  <c r="N5"/>
  <c r="X4"/>
  <c r="AA4" s="1"/>
  <c r="S4"/>
  <c r="D10" i="74"/>
  <c r="E11" s="1"/>
  <c r="D69"/>
  <c r="E69" s="1"/>
  <c r="G68"/>
  <c r="D53"/>
  <c r="D54" s="1"/>
  <c r="G52"/>
  <c r="N47" i="86"/>
  <c r="P47"/>
  <c r="N37"/>
  <c r="P37"/>
  <c r="Q16" i="85"/>
  <c r="O15"/>
  <c r="Q15" s="1"/>
  <c r="Q8"/>
  <c r="Q4"/>
  <c r="H6" i="77"/>
  <c r="I6"/>
  <c r="P21" i="86"/>
  <c r="P8"/>
  <c r="E101" i="77"/>
  <c r="E85"/>
  <c r="E69"/>
  <c r="M23" i="73"/>
  <c r="E85" i="74"/>
  <c r="H85" s="1"/>
  <c r="G85"/>
  <c r="H84"/>
  <c r="P24" i="73"/>
  <c r="R5" i="88"/>
  <c r="R13"/>
  <c r="I7" i="77"/>
  <c r="H7"/>
  <c r="G53" i="74"/>
  <c r="G69"/>
  <c r="D70"/>
  <c r="H100"/>
  <c r="N106" i="82"/>
  <c r="I8" i="77"/>
  <c r="H8"/>
  <c r="D71" i="74"/>
  <c r="H69"/>
  <c r="H10" i="38"/>
  <c r="H13" s="1"/>
  <c r="F54" i="79"/>
  <c r="F56" s="1"/>
  <c r="F73" s="1"/>
  <c r="F48"/>
  <c r="F50" s="1"/>
  <c r="F72" s="1"/>
  <c r="G48"/>
  <c r="O22"/>
  <c r="N21"/>
  <c r="N22"/>
  <c r="N23" s="1"/>
  <c r="N40" s="1"/>
  <c r="F27" i="54"/>
  <c r="D162" i="121" s="1"/>
  <c r="L5" i="96"/>
  <c r="Y14" s="1"/>
  <c r="H22" i="90"/>
  <c r="K21"/>
  <c r="H18"/>
  <c r="K17"/>
  <c r="H14"/>
  <c r="K13"/>
  <c r="X11" i="79"/>
  <c r="X13" s="1"/>
  <c r="X14"/>
  <c r="T88" i="68"/>
  <c r="V88" s="1"/>
  <c r="Z88"/>
  <c r="O88"/>
  <c r="O87"/>
  <c r="Z87"/>
  <c r="T87"/>
  <c r="V87" s="1"/>
  <c r="O83"/>
  <c r="Z83"/>
  <c r="T83"/>
  <c r="V83" s="1"/>
  <c r="T79"/>
  <c r="V79" s="1"/>
  <c r="Z79"/>
  <c r="O79"/>
  <c r="O78"/>
  <c r="T75"/>
  <c r="V75" s="1"/>
  <c r="Z75"/>
  <c r="O75"/>
  <c r="Z74"/>
  <c r="T74"/>
  <c r="V74" s="1"/>
  <c r="T73"/>
  <c r="V73" s="1"/>
  <c r="O73"/>
  <c r="O72"/>
  <c r="T72"/>
  <c r="O68"/>
  <c r="T68"/>
  <c r="V68" s="1"/>
  <c r="Z68"/>
  <c r="T65"/>
  <c r="V65" s="1"/>
  <c r="Z65"/>
  <c r="O65"/>
  <c r="O64"/>
  <c r="Z64"/>
  <c r="T64"/>
  <c r="V64"/>
  <c r="O59"/>
  <c r="O58"/>
  <c r="Z58"/>
  <c r="T58"/>
  <c r="T53"/>
  <c r="V53" s="1"/>
  <c r="Z53"/>
  <c r="O53"/>
  <c r="T47"/>
  <c r="V47" s="1"/>
  <c r="O47"/>
  <c r="T5"/>
  <c r="V5" s="1"/>
  <c r="M21" i="90"/>
  <c r="E11" i="31"/>
  <c r="E10" i="38" s="1"/>
  <c r="E12" s="1"/>
  <c r="D10"/>
  <c r="G10" s="1"/>
  <c r="G11" i="31"/>
  <c r="G14" s="1"/>
  <c r="D14"/>
  <c r="H11" s="1"/>
  <c r="H14" s="1"/>
  <c r="L97" i="68"/>
  <c r="O95"/>
  <c r="T95"/>
  <c r="V95"/>
  <c r="Z95"/>
  <c r="T49"/>
  <c r="V49" s="1"/>
  <c r="Z49"/>
  <c r="O49"/>
  <c r="O48"/>
  <c r="Z48"/>
  <c r="T48"/>
  <c r="V48" s="1"/>
  <c r="M18" i="88"/>
  <c r="R18"/>
  <c r="M22" i="90"/>
  <c r="N22" s="1"/>
  <c r="K54" i="72"/>
  <c r="K41"/>
  <c r="H30"/>
  <c r="K26"/>
  <c r="G15" i="90"/>
  <c r="G11"/>
  <c r="M11"/>
  <c r="N11" s="1"/>
  <c r="Y73" i="68"/>
  <c r="H23" i="72"/>
  <c r="K19"/>
  <c r="D95" i="82"/>
  <c r="E46" i="71"/>
  <c r="N20" i="79"/>
  <c r="G16" i="72"/>
  <c r="L8"/>
  <c r="L7"/>
  <c r="N7" s="1"/>
  <c r="M101" i="73"/>
  <c r="M85"/>
  <c r="M69"/>
  <c r="M70" s="1"/>
  <c r="M71" s="1"/>
  <c r="N72" s="1"/>
  <c r="M53"/>
  <c r="M54" s="1"/>
  <c r="M55" s="1"/>
  <c r="M56" s="1"/>
  <c r="N57" s="1"/>
  <c r="M37"/>
  <c r="K31"/>
  <c r="C17"/>
  <c r="F17" s="1"/>
  <c r="M106" i="83"/>
  <c r="U6" i="84" s="1"/>
  <c r="V5" s="1"/>
  <c r="Q32" i="85"/>
  <c r="O36"/>
  <c r="Q36"/>
  <c r="Q27"/>
  <c r="W4" i="79"/>
  <c r="S15"/>
  <c r="AE10"/>
  <c r="AC10"/>
  <c r="AA10"/>
  <c r="Q48" i="85"/>
  <c r="Q50" s="1"/>
  <c r="N15"/>
  <c r="E101" i="78"/>
  <c r="E69"/>
  <c r="W11" i="79"/>
  <c r="W13" s="1"/>
  <c r="W14" s="1"/>
  <c r="Y10"/>
  <c r="Y11"/>
  <c r="Z11" s="1"/>
  <c r="AD10"/>
  <c r="AB10"/>
  <c r="Y13"/>
  <c r="Y14" s="1"/>
  <c r="Z4"/>
  <c r="AB4"/>
  <c r="AD4"/>
  <c r="Y4"/>
  <c r="Y5" s="1"/>
  <c r="W5"/>
  <c r="W7"/>
  <c r="W8" s="1"/>
  <c r="AA4"/>
  <c r="AC4"/>
  <c r="AE4"/>
  <c r="X5"/>
  <c r="X7"/>
  <c r="X8" s="1"/>
  <c r="N38" i="73"/>
  <c r="M38"/>
  <c r="M39" s="1"/>
  <c r="N40" s="1"/>
  <c r="N102"/>
  <c r="M102"/>
  <c r="O7" i="72"/>
  <c r="P7" s="1"/>
  <c r="O26"/>
  <c r="O41"/>
  <c r="S53" i="73"/>
  <c r="S85"/>
  <c r="T8" i="72"/>
  <c r="S54" i="73"/>
  <c r="M103"/>
  <c r="M104" s="1"/>
  <c r="N104"/>
  <c r="Z63" i="68" l="1"/>
  <c r="O63"/>
  <c r="K56" i="72"/>
  <c r="H58"/>
  <c r="Y7" i="79"/>
  <c r="Y8" s="1"/>
  <c r="Z5"/>
  <c r="Z7" s="1"/>
  <c r="Z8" s="1"/>
  <c r="N105" i="73"/>
  <c r="M105"/>
  <c r="I9" i="77"/>
  <c r="H9"/>
  <c r="M24" i="73"/>
  <c r="M25" s="1"/>
  <c r="M26" s="1"/>
  <c r="N24"/>
  <c r="D55" i="74"/>
  <c r="G54"/>
  <c r="J17" i="130"/>
  <c r="V17" s="1"/>
  <c r="D186" i="121"/>
  <c r="G9" i="90"/>
  <c r="F9"/>
  <c r="H9"/>
  <c r="T92" i="68"/>
  <c r="V92" s="1"/>
  <c r="O92"/>
  <c r="F70" i="89"/>
  <c r="K52"/>
  <c r="K54" s="1"/>
  <c r="K34"/>
  <c r="K36" s="1"/>
  <c r="L52" s="1"/>
  <c r="L54" s="1"/>
  <c r="L34"/>
  <c r="R34"/>
  <c r="N8" i="93"/>
  <c r="N81" i="82"/>
  <c r="N87" s="1"/>
  <c r="N95"/>
  <c r="N98" s="1"/>
  <c r="N113" s="1"/>
  <c r="F59"/>
  <c r="J14" i="88"/>
  <c r="M14" s="1"/>
  <c r="J77" i="71"/>
  <c r="J83" s="1"/>
  <c r="D46"/>
  <c r="F65" i="72"/>
  <c r="K63"/>
  <c r="O63" s="1"/>
  <c r="K34"/>
  <c r="K37" s="1"/>
  <c r="F37"/>
  <c r="P56" i="73"/>
  <c r="O19" i="85"/>
  <c r="Q19" s="1"/>
  <c r="N21"/>
  <c r="N43" s="1"/>
  <c r="K9" i="90"/>
  <c r="D11" i="74"/>
  <c r="O7" i="85"/>
  <c r="Q7" s="1"/>
  <c r="P33" i="50"/>
  <c r="P38" s="1"/>
  <c r="L20" i="130"/>
  <c r="X20" s="1"/>
  <c r="W20"/>
  <c r="H170" i="49"/>
  <c r="T8" i="68"/>
  <c r="V8" s="1"/>
  <c r="O42" i="72"/>
  <c r="K35"/>
  <c r="O35" s="1"/>
  <c r="K80" i="73"/>
  <c r="M72"/>
  <c r="M40"/>
  <c r="M41" s="1"/>
  <c r="M42" s="1"/>
  <c r="M43" s="1"/>
  <c r="E14" i="31"/>
  <c r="I11" s="1"/>
  <c r="M109" i="83"/>
  <c r="L11" i="90"/>
  <c r="M15"/>
  <c r="N15" s="1"/>
  <c r="R14" i="88"/>
  <c r="T78" i="68"/>
  <c r="V78" s="1"/>
  <c r="F10" i="95"/>
  <c r="E10" i="27"/>
  <c r="N23" i="73"/>
  <c r="T23" s="1"/>
  <c r="F20" i="31"/>
  <c r="F26" s="1"/>
  <c r="F27" s="1"/>
  <c r="O47" i="86"/>
  <c r="Q47" s="1"/>
  <c r="T63" i="68"/>
  <c r="G178" i="49"/>
  <c r="V77" i="68"/>
  <c r="V39"/>
  <c r="V21"/>
  <c r="K47" i="72"/>
  <c r="O47" s="1"/>
  <c r="H51"/>
  <c r="L6"/>
  <c r="G6"/>
  <c r="R80" i="73"/>
  <c r="P40" i="86"/>
  <c r="N40"/>
  <c r="O40" s="1"/>
  <c r="Q40" s="1"/>
  <c r="N31"/>
  <c r="O31" s="1"/>
  <c r="P31"/>
  <c r="Q20"/>
  <c r="Q18"/>
  <c r="Q16"/>
  <c r="Q14"/>
  <c r="Q12"/>
  <c r="G116" i="121"/>
  <c r="S118"/>
  <c r="H31" i="50"/>
  <c r="H33" s="1"/>
  <c r="H38" s="1"/>
  <c r="E33"/>
  <c r="E38" s="1"/>
  <c r="G8" i="90"/>
  <c r="H8"/>
  <c r="H6" i="96"/>
  <c r="J4"/>
  <c r="J6" s="1"/>
  <c r="S33" i="79" s="1"/>
  <c r="T86" i="68"/>
  <c r="V86" s="1"/>
  <c r="H77" i="71"/>
  <c r="H83" s="1"/>
  <c r="J16" i="72"/>
  <c r="G49" i="112"/>
  <c r="G52" s="1"/>
  <c r="H26" i="54" s="1"/>
  <c r="S48" i="73"/>
  <c r="D12" i="76"/>
  <c r="D13" s="1"/>
  <c r="D14" s="1"/>
  <c r="E12"/>
  <c r="O28" i="85"/>
  <c r="N31"/>
  <c r="D85" i="78"/>
  <c r="E84"/>
  <c r="E333" i="36"/>
  <c r="E334"/>
  <c r="F9" i="32" s="1"/>
  <c r="S55" i="73"/>
  <c r="E85" i="78"/>
  <c r="R10" i="88"/>
  <c r="E53" i="74"/>
  <c r="H53" s="1"/>
  <c r="J7" i="88"/>
  <c r="E35" i="1"/>
  <c r="F20" i="90"/>
  <c r="H20"/>
  <c r="G12"/>
  <c r="F12"/>
  <c r="H12"/>
  <c r="T60" i="68"/>
  <c r="V60" s="1"/>
  <c r="V16"/>
  <c r="E54" i="89"/>
  <c r="F69"/>
  <c r="G51"/>
  <c r="I51" s="1"/>
  <c r="D54"/>
  <c r="D112" i="68" s="1"/>
  <c r="E69" i="89"/>
  <c r="D138" i="68" s="1"/>
  <c r="F55" i="82"/>
  <c r="G5" i="72"/>
  <c r="D9"/>
  <c r="G9" s="1"/>
  <c r="M57" i="73"/>
  <c r="N55"/>
  <c r="T55" s="1"/>
  <c r="N54"/>
  <c r="T7" i="72"/>
  <c r="N70" i="73"/>
  <c r="Z84" i="68"/>
  <c r="S23" i="73"/>
  <c r="J63"/>
  <c r="L5" i="72"/>
  <c r="R19" i="88"/>
  <c r="M19"/>
  <c r="I36" i="89"/>
  <c r="T56" i="68"/>
  <c r="V56" s="1"/>
  <c r="R16" i="88"/>
  <c r="H35" i="7"/>
  <c r="P123" i="121"/>
  <c r="N20" i="130"/>
  <c r="Z20" s="1"/>
  <c r="Y20"/>
  <c r="F229" i="49"/>
  <c r="H194"/>
  <c r="F8" i="90"/>
  <c r="U14" i="96"/>
  <c r="O32" i="67"/>
  <c r="L86" i="68"/>
  <c r="T85"/>
  <c r="V85" s="1"/>
  <c r="V45"/>
  <c r="V44"/>
  <c r="V12"/>
  <c r="L61" i="72"/>
  <c r="L12"/>
  <c r="K96" i="73"/>
  <c r="K30"/>
  <c r="K32" s="1"/>
  <c r="J31"/>
  <c r="S32"/>
  <c r="G38" i="112"/>
  <c r="D101" i="74"/>
  <c r="E101"/>
  <c r="H101" s="1"/>
  <c r="J43" i="85"/>
  <c r="V67" i="68"/>
  <c r="U12" i="130"/>
  <c r="U21" s="1"/>
  <c r="U24" s="1"/>
  <c r="U26" s="1"/>
  <c r="I21"/>
  <c r="I24" s="1"/>
  <c r="I26" s="1"/>
  <c r="L14" i="20"/>
  <c r="H122" i="121"/>
  <c r="T124"/>
  <c r="O32" i="50"/>
  <c r="L27" i="130"/>
  <c r="X27" s="1"/>
  <c r="W27"/>
  <c r="H185" i="49"/>
  <c r="H196" s="1"/>
  <c r="M17" i="90"/>
  <c r="N17" s="1"/>
  <c r="M13"/>
  <c r="P33" i="67"/>
  <c r="P38" s="1"/>
  <c r="V98" i="68"/>
  <c r="V40"/>
  <c r="V32"/>
  <c r="V22"/>
  <c r="L13"/>
  <c r="T13" s="1"/>
  <c r="V13" s="1"/>
  <c r="L9"/>
  <c r="T9" s="1"/>
  <c r="V9" s="1"/>
  <c r="E157" i="94"/>
  <c r="H44" i="72"/>
  <c r="G23"/>
  <c r="D39" i="112"/>
  <c r="S112" i="73"/>
  <c r="Q32" i="86"/>
  <c r="Q25" i="85"/>
  <c r="Q23"/>
  <c r="D101" i="77"/>
  <c r="E100"/>
  <c r="T106" i="121"/>
  <c r="H106"/>
  <c r="O37" i="86"/>
  <c r="Q37" s="1"/>
  <c r="N111" i="82"/>
  <c r="M19" i="90"/>
  <c r="N19" s="1"/>
  <c r="D18" i="6"/>
  <c r="D20" s="1"/>
  <c r="D24" s="1"/>
  <c r="D27" s="1"/>
  <c r="E12" i="130" s="1"/>
  <c r="G118" i="121"/>
  <c r="S120"/>
  <c r="O40" i="50"/>
  <c r="I32" i="140"/>
  <c r="F167" i="121"/>
  <c r="F196" i="49"/>
  <c r="G131" i="68"/>
  <c r="Y93"/>
  <c r="V72"/>
  <c r="V63"/>
  <c r="V50"/>
  <c r="L4"/>
  <c r="T4" s="1"/>
  <c r="V4" s="1"/>
  <c r="E181" i="94"/>
  <c r="Q85" i="73"/>
  <c r="P86"/>
  <c r="N68"/>
  <c r="N69"/>
  <c r="Q55"/>
  <c r="Q4"/>
  <c r="T4" s="1"/>
  <c r="P5"/>
  <c r="R97" i="83"/>
  <c r="O64"/>
  <c r="R64" s="1"/>
  <c r="N28" i="86"/>
  <c r="O28" s="1"/>
  <c r="P28"/>
  <c r="Q24"/>
  <c r="J48"/>
  <c r="G11" i="32"/>
  <c r="F26"/>
  <c r="K61" i="72"/>
  <c r="K57"/>
  <c r="O57" s="1"/>
  <c r="K22"/>
  <c r="O22" s="1"/>
  <c r="O15"/>
  <c r="S80" i="73"/>
  <c r="T20"/>
  <c r="J15"/>
  <c r="V15" s="1"/>
  <c r="V16" s="1"/>
  <c r="O82" i="83"/>
  <c r="R82" s="1"/>
  <c r="L106"/>
  <c r="L109" s="1"/>
  <c r="O43"/>
  <c r="R43" s="1"/>
  <c r="K40" i="84"/>
  <c r="P39"/>
  <c r="Q29" i="86"/>
  <c r="Q25"/>
  <c r="Q22"/>
  <c r="Q7"/>
  <c r="Q41" i="85"/>
  <c r="Q29"/>
  <c r="Q20"/>
  <c r="Q18"/>
  <c r="E68" i="78"/>
  <c r="H119" i="121"/>
  <c r="T121"/>
  <c r="T6" i="68"/>
  <c r="V6" s="1"/>
  <c r="D69" i="89"/>
  <c r="E92" i="69"/>
  <c r="G44" i="72"/>
  <c r="G37"/>
  <c r="K33"/>
  <c r="R105" i="83"/>
  <c r="Q106"/>
  <c r="Q107" s="1"/>
  <c r="L40" i="84"/>
  <c r="G64" i="74"/>
  <c r="Q38" i="86"/>
  <c r="Q13"/>
  <c r="Q9"/>
  <c r="Q24" i="85"/>
  <c r="Q22"/>
  <c r="Q10"/>
  <c r="T119" i="121"/>
  <c r="H117"/>
  <c r="F16" i="23"/>
  <c r="G16" s="1"/>
  <c r="F11" i="27" s="1"/>
  <c r="F13" i="30"/>
  <c r="G20" i="130"/>
  <c r="F18" i="35"/>
  <c r="G17" i="130"/>
  <c r="D8" i="44"/>
  <c r="D10" s="1"/>
  <c r="D11" s="1"/>
  <c r="D13" s="1"/>
  <c r="E42" i="103"/>
  <c r="E43"/>
  <c r="D32" i="121"/>
  <c r="E33" i="103" s="1"/>
  <c r="E42" i="121"/>
  <c r="F43" i="103" s="1"/>
  <c r="D12" i="121"/>
  <c r="E12" i="103" s="1"/>
  <c r="D202" i="121"/>
  <c r="D34"/>
  <c r="E35" i="103" s="1"/>
  <c r="I10" i="121"/>
  <c r="J10" i="103" s="1"/>
  <c r="I9" i="121"/>
  <c r="J9" i="103" s="1"/>
  <c r="H23" i="47"/>
  <c r="D48" i="121"/>
  <c r="H9"/>
  <c r="I9" i="103" s="1"/>
  <c r="D203" i="121"/>
  <c r="D13"/>
  <c r="E13" i="103" s="1"/>
  <c r="F203" i="121"/>
  <c r="F13"/>
  <c r="G13" i="103" s="1"/>
  <c r="E10" i="121"/>
  <c r="F10" i="103" s="1"/>
  <c r="E201" i="121"/>
  <c r="I11"/>
  <c r="E203"/>
  <c r="E13"/>
  <c r="F13" i="103" s="1"/>
  <c r="I12" i="121"/>
  <c r="J12" i="103" s="1"/>
  <c r="D10" i="121"/>
  <c r="E10" i="103" s="1"/>
  <c r="D201" i="121"/>
  <c r="I8"/>
  <c r="J8" i="103" s="1"/>
  <c r="D9" i="121"/>
  <c r="E9" i="103" s="1"/>
  <c r="D200" i="121"/>
  <c r="J22" i="47"/>
  <c r="F47" i="121"/>
  <c r="H8"/>
  <c r="I8" i="103" s="1"/>
  <c r="H16" i="121"/>
  <c r="I16" i="103" s="1"/>
  <c r="J16" i="121"/>
  <c r="K16" i="103" s="1"/>
  <c r="E8" i="121"/>
  <c r="F8" i="103" s="1"/>
  <c r="E199" i="121"/>
  <c r="I23" i="47"/>
  <c r="E48" i="121"/>
  <c r="H12"/>
  <c r="I12" i="103" s="1"/>
  <c r="G13" i="121"/>
  <c r="H13" i="103" s="1"/>
  <c r="G203" i="121"/>
  <c r="H10"/>
  <c r="I10" i="103" s="1"/>
  <c r="I16" i="121"/>
  <c r="J16" i="103" s="1"/>
  <c r="N10" i="93"/>
  <c r="F27" i="1"/>
  <c r="F20" i="121"/>
  <c r="G20" i="103" s="1"/>
  <c r="F208" i="121"/>
  <c r="D197"/>
  <c r="D6"/>
  <c r="E6" i="103" s="1"/>
  <c r="D133" i="121"/>
  <c r="D135" s="1"/>
  <c r="D92"/>
  <c r="E147"/>
  <c r="F160"/>
  <c r="J66" i="1"/>
  <c r="H70" i="121" s="1"/>
  <c r="L16" i="23"/>
  <c r="G5" i="92" s="1"/>
  <c r="I66" i="1"/>
  <c r="G70" i="121" s="1"/>
  <c r="E27" i="1"/>
  <c r="F68"/>
  <c r="D49" i="7"/>
  <c r="D52" s="1"/>
  <c r="D43" i="79" s="1"/>
  <c r="I39" i="6"/>
  <c r="G89" i="121" s="1"/>
  <c r="D38" i="6"/>
  <c r="D42" s="1"/>
  <c r="D42" i="79" s="1"/>
  <c r="M11" i="7"/>
  <c r="F19" i="1"/>
  <c r="F35"/>
  <c r="E65" s="1"/>
  <c r="F68" i="79"/>
  <c r="F75" s="1"/>
  <c r="F56" i="50"/>
  <c r="I22" i="47"/>
  <c r="H36" i="1"/>
  <c r="H38" s="1"/>
  <c r="H40" s="1"/>
  <c r="H42" s="1"/>
  <c r="E5" i="92"/>
  <c r="F62" i="79"/>
  <c r="F74" s="1"/>
  <c r="J23" i="47"/>
  <c r="E13" i="38"/>
  <c r="E13" i="44"/>
  <c r="E14" s="1"/>
  <c r="E50" i="1"/>
  <c r="M31" i="79"/>
  <c r="M35" s="1"/>
  <c r="N6" i="93"/>
  <c r="O11"/>
  <c r="P11" s="1"/>
  <c r="L25" i="7"/>
  <c r="N114" i="82"/>
  <c r="F14" i="31"/>
  <c r="J88" i="7"/>
  <c r="K88" s="1"/>
  <c r="L88" s="1"/>
  <c r="L91" s="1"/>
  <c r="L92" s="1"/>
  <c r="I74"/>
  <c r="M30" i="79"/>
  <c r="M34" s="1"/>
  <c r="H22" i="47"/>
  <c r="K10" i="44"/>
  <c r="K11" s="1"/>
  <c r="K13" s="1"/>
  <c r="K16" s="1"/>
  <c r="J11" i="103"/>
  <c r="F10" i="27"/>
  <c r="F12" s="1"/>
  <c r="F18" i="32"/>
  <c r="D18" i="27" s="1"/>
  <c r="D19" s="1"/>
  <c r="D21" s="1"/>
  <c r="F43" i="32"/>
  <c r="F45" s="1"/>
  <c r="L23" i="7"/>
  <c r="G42" i="6"/>
  <c r="E92" i="121" s="1"/>
  <c r="G19" i="32"/>
  <c r="G30" s="1"/>
  <c r="G34"/>
  <c r="G37" s="1"/>
  <c r="G13"/>
  <c r="F65" i="1"/>
  <c r="D69" i="121" s="1"/>
  <c r="N30" i="50"/>
  <c r="O30" s="1"/>
  <c r="N30" i="67"/>
  <c r="N35" i="50"/>
  <c r="O35" s="1"/>
  <c r="L33" i="67"/>
  <c r="L38" s="1"/>
  <c r="E18" i="50"/>
  <c r="L33"/>
  <c r="L38" s="1"/>
  <c r="N36" i="67"/>
  <c r="O36" s="1"/>
  <c r="C20" i="29"/>
  <c r="C22" s="1"/>
  <c r="N31" i="50"/>
  <c r="O31" s="1"/>
  <c r="N35" i="67"/>
  <c r="O35" s="1"/>
  <c r="N34"/>
  <c r="O34" s="1"/>
  <c r="N43" i="73"/>
  <c r="J9" i="88"/>
  <c r="M9" s="1"/>
  <c r="F54" i="82"/>
  <c r="R9" i="88"/>
  <c r="E300" i="36"/>
  <c r="E299"/>
  <c r="E173" i="37"/>
  <c r="D10" i="32"/>
  <c r="M86" i="73"/>
  <c r="N86"/>
  <c r="N8" i="72"/>
  <c r="O8"/>
  <c r="P8" s="1"/>
  <c r="L15" i="90"/>
  <c r="H10" i="77"/>
  <c r="I10"/>
  <c r="G71" i="74"/>
  <c r="D72"/>
  <c r="E72"/>
  <c r="H72" s="1"/>
  <c r="E70" i="77"/>
  <c r="D70"/>
  <c r="N56" i="73"/>
  <c r="N39"/>
  <c r="N36" i="79"/>
  <c r="S16"/>
  <c r="M27" i="73"/>
  <c r="N26"/>
  <c r="N27"/>
  <c r="P25"/>
  <c r="Q25"/>
  <c r="S24"/>
  <c r="Q24"/>
  <c r="R7" i="88"/>
  <c r="M7"/>
  <c r="G18" i="90"/>
  <c r="F18"/>
  <c r="M18" s="1"/>
  <c r="K18"/>
  <c r="L17"/>
  <c r="H9" i="96"/>
  <c r="J7"/>
  <c r="U13"/>
  <c r="L101" i="68"/>
  <c r="T101" s="1"/>
  <c r="V101" s="1"/>
  <c r="I103"/>
  <c r="T84"/>
  <c r="V84" s="1"/>
  <c r="O84"/>
  <c r="O71"/>
  <c r="Z71"/>
  <c r="T71"/>
  <c r="V71" s="1"/>
  <c r="Z61"/>
  <c r="T61"/>
  <c r="V61" s="1"/>
  <c r="Z59"/>
  <c r="T59"/>
  <c r="V59" s="1"/>
  <c r="T52"/>
  <c r="V52" s="1"/>
  <c r="O52"/>
  <c r="I103" i="82"/>
  <c r="I106" s="1"/>
  <c r="J146" i="94"/>
  <c r="J72"/>
  <c r="I78" s="1"/>
  <c r="I4" i="93"/>
  <c r="I6" s="1"/>
  <c r="E104" i="82"/>
  <c r="E106" s="1"/>
  <c r="F5" i="93"/>
  <c r="F6" s="1"/>
  <c r="F72" i="94"/>
  <c r="N26" i="85"/>
  <c r="O26" s="1"/>
  <c r="P26"/>
  <c r="P43" s="1"/>
  <c r="P47" s="1"/>
  <c r="L43"/>
  <c r="Q9"/>
  <c r="O11"/>
  <c r="E102" i="78"/>
  <c r="D102"/>
  <c r="M106" i="73"/>
  <c r="N41"/>
  <c r="L22" i="90"/>
  <c r="S7" i="72"/>
  <c r="M43" i="85"/>
  <c r="U7" i="84" s="1"/>
  <c r="V6" s="1"/>
  <c r="R18" i="89"/>
  <c r="R31" s="1"/>
  <c r="R36" s="1"/>
  <c r="L18"/>
  <c r="L21" s="1"/>
  <c r="J20" i="88"/>
  <c r="M6"/>
  <c r="E86" i="77"/>
  <c r="D86"/>
  <c r="E70" i="78"/>
  <c r="D70"/>
  <c r="AA11" i="79"/>
  <c r="Z13"/>
  <c r="Z14" s="1"/>
  <c r="N21" i="90"/>
  <c r="L21"/>
  <c r="E15" i="75"/>
  <c r="E16" s="1"/>
  <c r="D15"/>
  <c r="H3" s="1"/>
  <c r="H4" s="1"/>
  <c r="H5" s="1"/>
  <c r="S47" i="67"/>
  <c r="S56" s="1"/>
  <c r="P56"/>
  <c r="H9" i="94"/>
  <c r="E102" i="77"/>
  <c r="D102"/>
  <c r="E86" i="78"/>
  <c r="D86"/>
  <c r="N103" i="73"/>
  <c r="N71"/>
  <c r="E56" i="79"/>
  <c r="E73" s="1"/>
  <c r="M4" i="88"/>
  <c r="R4"/>
  <c r="F38" i="6"/>
  <c r="F42" s="1"/>
  <c r="F42" i="79" s="1"/>
  <c r="E48"/>
  <c r="E50" s="1"/>
  <c r="E72" s="1"/>
  <c r="F31" i="54"/>
  <c r="D166" i="121" s="1"/>
  <c r="F32" i="54"/>
  <c r="D167" i="121" s="1"/>
  <c r="L4" i="96"/>
  <c r="L6" s="1"/>
  <c r="T33" i="79" s="1"/>
  <c r="O90" i="68"/>
  <c r="Z90"/>
  <c r="T90"/>
  <c r="V90" s="1"/>
  <c r="O81"/>
  <c r="Z81"/>
  <c r="T70"/>
  <c r="V70" s="1"/>
  <c r="O70"/>
  <c r="Z70"/>
  <c r="O51"/>
  <c r="T51"/>
  <c r="V51" s="1"/>
  <c r="L7"/>
  <c r="I10"/>
  <c r="H7" i="94"/>
  <c r="M85" i="82"/>
  <c r="F97"/>
  <c r="K62" i="72"/>
  <c r="H65"/>
  <c r="L19"/>
  <c r="J23"/>
  <c r="G39" i="112" s="1"/>
  <c r="Q68" i="73"/>
  <c r="S68"/>
  <c r="P69"/>
  <c r="N36" i="50"/>
  <c r="O36" s="1"/>
  <c r="F98" i="49"/>
  <c r="E18" i="67"/>
  <c r="V94" i="68"/>
  <c r="V37"/>
  <c r="V19"/>
  <c r="L35" i="89"/>
  <c r="L36" s="1"/>
  <c r="Q8" i="86"/>
  <c r="G70" i="74"/>
  <c r="E71"/>
  <c r="H71" s="1"/>
  <c r="D86"/>
  <c r="E86" s="1"/>
  <c r="E32" i="27"/>
  <c r="E38" s="1"/>
  <c r="E48" s="1"/>
  <c r="D48"/>
  <c r="G7" i="87"/>
  <c r="G8"/>
  <c r="G10" i="90"/>
  <c r="F10"/>
  <c r="K10"/>
  <c r="L47" i="67"/>
  <c r="G56"/>
  <c r="N31"/>
  <c r="O31" s="1"/>
  <c r="K33"/>
  <c r="K38" s="1"/>
  <c r="D132" i="68"/>
  <c r="D139" s="1"/>
  <c r="D111"/>
  <c r="D115" s="1"/>
  <c r="M115" s="1"/>
  <c r="Z96"/>
  <c r="Z97" s="1"/>
  <c r="O96"/>
  <c r="O97" s="1"/>
  <c r="T96"/>
  <c r="V96" s="1"/>
  <c r="T89"/>
  <c r="V89" s="1"/>
  <c r="O89"/>
  <c r="Z89"/>
  <c r="O66"/>
  <c r="T66"/>
  <c r="V66" s="1"/>
  <c r="L57"/>
  <c r="I93"/>
  <c r="T54"/>
  <c r="O54"/>
  <c r="E112"/>
  <c r="R39" i="89"/>
  <c r="E131" i="68"/>
  <c r="E138" s="1"/>
  <c r="D72" i="94"/>
  <c r="C104" i="82"/>
  <c r="C106" s="1"/>
  <c r="D5" i="93"/>
  <c r="D6" s="1"/>
  <c r="F8"/>
  <c r="E95" i="82"/>
  <c r="L54" i="72"/>
  <c r="J58"/>
  <c r="J47" i="84"/>
  <c r="J40"/>
  <c r="L48"/>
  <c r="O46" i="85"/>
  <c r="R46" s="1"/>
  <c r="N48"/>
  <c r="O48" s="1"/>
  <c r="E139" i="68"/>
  <c r="V81"/>
  <c r="K16" i="73"/>
  <c r="F13" i="58"/>
  <c r="G11"/>
  <c r="G14" i="90"/>
  <c r="F14"/>
  <c r="K14"/>
  <c r="H30" i="67"/>
  <c r="E33"/>
  <c r="E38" s="1"/>
  <c r="O102" i="68"/>
  <c r="Z102"/>
  <c r="O82"/>
  <c r="Z82"/>
  <c r="T82"/>
  <c r="V82" s="1"/>
  <c r="O50"/>
  <c r="Z50"/>
  <c r="O37" i="85"/>
  <c r="N42"/>
  <c r="N25" i="73"/>
  <c r="D56" i="74"/>
  <c r="E70"/>
  <c r="E54"/>
  <c r="H54" s="1"/>
  <c r="D36" i="1"/>
  <c r="D38" s="1"/>
  <c r="D40" s="1"/>
  <c r="D42" s="1"/>
  <c r="E11" i="130" s="1"/>
  <c r="N34" i="50"/>
  <c r="O34" s="1"/>
  <c r="K33"/>
  <c r="K38" s="1"/>
  <c r="E16" i="23"/>
  <c r="E11" i="27" s="1"/>
  <c r="G112" i="68"/>
  <c r="G115" s="1"/>
  <c r="V54"/>
  <c r="V109" s="1"/>
  <c r="V41"/>
  <c r="V33"/>
  <c r="V23"/>
  <c r="E112" i="82"/>
  <c r="K40" i="72"/>
  <c r="Q6" i="89"/>
  <c r="I21"/>
  <c r="J52" s="1"/>
  <c r="J53" s="1"/>
  <c r="J37" i="72"/>
  <c r="L33"/>
  <c r="F16"/>
  <c r="K14"/>
  <c r="O14" s="1"/>
  <c r="N84" i="73"/>
  <c r="S84"/>
  <c r="N85"/>
  <c r="T85" s="1"/>
  <c r="G4"/>
  <c r="N5" i="86"/>
  <c r="P5"/>
  <c r="P48" s="1"/>
  <c r="M12" i="93"/>
  <c r="P12" s="1"/>
  <c r="D92" i="69"/>
  <c r="G20" i="88"/>
  <c r="G28" i="60"/>
  <c r="O20" i="72"/>
  <c r="K13"/>
  <c r="O13" s="1"/>
  <c r="F16" i="73"/>
  <c r="N32" i="83"/>
  <c r="N106" s="1"/>
  <c r="N109" s="1"/>
  <c r="J106"/>
  <c r="P20" i="84"/>
  <c r="Q45" i="86"/>
  <c r="Q43"/>
  <c r="Q41"/>
  <c r="Q35"/>
  <c r="Q34"/>
  <c r="Q33"/>
  <c r="Q14" i="85"/>
  <c r="L48" i="72"/>
  <c r="J51"/>
  <c r="L27"/>
  <c r="J30"/>
  <c r="G50" i="112" s="1"/>
  <c r="H50" s="1"/>
  <c r="N52" i="73"/>
  <c r="S52"/>
  <c r="N53"/>
  <c r="T53" s="1"/>
  <c r="R16"/>
  <c r="S5"/>
  <c r="W5"/>
  <c r="M6"/>
  <c r="D15" i="77"/>
  <c r="E14"/>
  <c r="G18" i="32"/>
  <c r="G43"/>
  <c r="G45" s="1"/>
  <c r="E210" i="36"/>
  <c r="E211" s="1"/>
  <c r="D9" i="32" s="1"/>
  <c r="F15" i="54"/>
  <c r="F18" s="1"/>
  <c r="G15" i="130" s="1"/>
  <c r="G69" i="89"/>
  <c r="G138" i="68" s="1"/>
  <c r="G142" s="1"/>
  <c r="E55" i="89"/>
  <c r="E111" i="68" s="1"/>
  <c r="F80" i="82"/>
  <c r="D65"/>
  <c r="D96" s="1"/>
  <c r="G45" i="71"/>
  <c r="K9" i="72"/>
  <c r="F51"/>
  <c r="K49"/>
  <c r="Q100" i="73"/>
  <c r="S100"/>
  <c r="P101"/>
  <c r="Q36"/>
  <c r="S36"/>
  <c r="P37"/>
  <c r="L10" i="44"/>
  <c r="L11" s="1"/>
  <c r="L13" s="1"/>
  <c r="L14" s="1"/>
  <c r="J24" i="6"/>
  <c r="J27" s="1"/>
  <c r="E133" i="121" s="1"/>
  <c r="K16" i="90"/>
  <c r="M16" s="1"/>
  <c r="K12"/>
  <c r="M12" s="1"/>
  <c r="K8"/>
  <c r="M8" s="1"/>
  <c r="I97" i="68"/>
  <c r="T97" s="1"/>
  <c r="V97" s="1"/>
  <c r="Q10" i="89"/>
  <c r="E173" i="94"/>
  <c r="I71"/>
  <c r="I8" i="93"/>
  <c r="E5" i="64"/>
  <c r="K28" i="72"/>
  <c r="O28" s="1"/>
  <c r="R96" i="73"/>
  <c r="S96" s="1"/>
  <c r="S21"/>
  <c r="O5" i="86"/>
  <c r="D20" i="29"/>
  <c r="D22" s="1"/>
  <c r="E6" i="45" s="1"/>
  <c r="L40" i="72"/>
  <c r="Q86" i="73"/>
  <c r="Q54"/>
  <c r="J12" i="44"/>
  <c r="J13"/>
  <c r="I112" i="82"/>
  <c r="F19" i="7"/>
  <c r="G19" s="1"/>
  <c r="G12"/>
  <c r="I65" i="82"/>
  <c r="G11" i="38"/>
  <c r="E6" i="92" s="1"/>
  <c r="G13" i="38"/>
  <c r="H19" i="130" s="1"/>
  <c r="D13" i="38"/>
  <c r="E19" i="130" s="1"/>
  <c r="D12" i="38"/>
  <c r="F18" i="6"/>
  <c r="F20" s="1"/>
  <c r="F24" s="1"/>
  <c r="F27" s="1"/>
  <c r="G12" i="130" s="1"/>
  <c r="G11" i="6"/>
  <c r="C65" i="82"/>
  <c r="G27" i="1"/>
  <c r="G54" i="79"/>
  <c r="G56" s="1"/>
  <c r="G73" s="1"/>
  <c r="F15" i="20"/>
  <c r="F16" s="1"/>
  <c r="G12"/>
  <c r="G15" s="1"/>
  <c r="G16" s="1"/>
  <c r="L61" i="82"/>
  <c r="M61" s="1"/>
  <c r="G50" i="79"/>
  <c r="G72" s="1"/>
  <c r="O16"/>
  <c r="O21" s="1"/>
  <c r="F12" i="44"/>
  <c r="F13"/>
  <c r="G54" i="50"/>
  <c r="F55"/>
  <c r="F57" s="1"/>
  <c r="F76" i="79"/>
  <c r="N13" i="93"/>
  <c r="O22" i="74"/>
  <c r="E69" i="1"/>
  <c r="G19"/>
  <c r="F13" i="32" l="1"/>
  <c r="F38" s="1"/>
  <c r="F39" s="1"/>
  <c r="F33"/>
  <c r="F37" s="1"/>
  <c r="T118" i="121"/>
  <c r="H116"/>
  <c r="G37" i="130"/>
  <c r="G46" s="1"/>
  <c r="G48" s="1"/>
  <c r="G50" s="1"/>
  <c r="D72" i="121"/>
  <c r="P6" i="73"/>
  <c r="P7" s="1"/>
  <c r="Q5"/>
  <c r="T5" s="1"/>
  <c r="X6"/>
  <c r="AA6" s="1"/>
  <c r="X5"/>
  <c r="AA5" s="1"/>
  <c r="H39" i="112"/>
  <c r="D123" i="121"/>
  <c r="P125"/>
  <c r="I14" i="31"/>
  <c r="J11"/>
  <c r="I10" i="38"/>
  <c r="P40" i="84"/>
  <c r="Z93" i="68"/>
  <c r="J66" i="72"/>
  <c r="G9" i="87"/>
  <c r="L19" i="90"/>
  <c r="Q28" i="86"/>
  <c r="P87" i="73"/>
  <c r="N12" i="72"/>
  <c r="L16"/>
  <c r="I26" i="140"/>
  <c r="F161" i="121"/>
  <c r="N6" i="72"/>
  <c r="S6" s="1"/>
  <c r="O6"/>
  <c r="P6" s="1"/>
  <c r="T6"/>
  <c r="D12" i="74"/>
  <c r="E12"/>
  <c r="K23" i="72"/>
  <c r="E12" i="27"/>
  <c r="L9" i="72"/>
  <c r="O34"/>
  <c r="H38" i="7"/>
  <c r="G101" i="74"/>
  <c r="D102"/>
  <c r="N61" i="72"/>
  <c r="N65" s="1"/>
  <c r="L65"/>
  <c r="T5"/>
  <c r="T9" s="1"/>
  <c r="O5"/>
  <c r="P5" s="1"/>
  <c r="N5"/>
  <c r="M58" i="73"/>
  <c r="S57"/>
  <c r="N58"/>
  <c r="O21" i="85"/>
  <c r="Q21" s="1"/>
  <c r="F11" i="95"/>
  <c r="F12"/>
  <c r="F13" s="1"/>
  <c r="M73" i="73"/>
  <c r="M74" s="1"/>
  <c r="N73"/>
  <c r="M9" i="90"/>
  <c r="Q57" i="73"/>
  <c r="T57" s="1"/>
  <c r="P57"/>
  <c r="D142" i="68"/>
  <c r="U106" i="121"/>
  <c r="I106"/>
  <c r="G55" i="74"/>
  <c r="E55"/>
  <c r="H55" s="1"/>
  <c r="Q6" i="73"/>
  <c r="T6" s="1"/>
  <c r="N48" i="86"/>
  <c r="P9" i="72"/>
  <c r="H118" i="121"/>
  <c r="T120"/>
  <c r="M20" i="90"/>
  <c r="Q28" i="85"/>
  <c r="O31"/>
  <c r="Q31" s="1"/>
  <c r="M16" i="79"/>
  <c r="M21" s="1"/>
  <c r="M23" s="1"/>
  <c r="M40" s="1"/>
  <c r="E21" i="130"/>
  <c r="E24" s="1"/>
  <c r="E26" s="1"/>
  <c r="K64" i="94"/>
  <c r="K59" s="1"/>
  <c r="Q31" i="89"/>
  <c r="M14" i="90"/>
  <c r="AA5" i="79"/>
  <c r="N42" i="73"/>
  <c r="J75" i="94"/>
  <c r="O61" i="72"/>
  <c r="L13" i="90"/>
  <c r="N13"/>
  <c r="G42" i="112"/>
  <c r="G26" i="54" s="1"/>
  <c r="Z86" i="68"/>
  <c r="O86"/>
  <c r="D15" i="76"/>
  <c r="H3" s="1"/>
  <c r="H4" s="1"/>
  <c r="H5" s="1"/>
  <c r="E15"/>
  <c r="D16" s="1"/>
  <c r="Q31" i="86"/>
  <c r="S56" i="73"/>
  <c r="Q56"/>
  <c r="O56" i="72"/>
  <c r="K58"/>
  <c r="G12" i="35"/>
  <c r="G12" i="143"/>
  <c r="E13" i="27"/>
  <c r="F19" i="130"/>
  <c r="H16"/>
  <c r="D12" i="44"/>
  <c r="E9" i="93"/>
  <c r="E10" s="1"/>
  <c r="F37" i="121"/>
  <c r="G38" i="103" s="1"/>
  <c r="D31" i="121"/>
  <c r="E32" i="103" s="1"/>
  <c r="F34" i="121"/>
  <c r="G35" i="103" s="1"/>
  <c r="E34" i="121"/>
  <c r="F35" i="103" s="1"/>
  <c r="E37" i="121"/>
  <c r="F38" i="103" s="1"/>
  <c r="D30" i="121"/>
  <c r="E31" i="103" s="1"/>
  <c r="E31" i="121"/>
  <c r="F32" i="103" s="1"/>
  <c r="G34" i="121"/>
  <c r="H35" i="103" s="1"/>
  <c r="D37" i="121"/>
  <c r="E38" i="103" s="1"/>
  <c r="E32" i="121"/>
  <c r="F33" i="103" s="1"/>
  <c r="D29" i="121"/>
  <c r="E30" i="103" s="1"/>
  <c r="E29" i="121"/>
  <c r="F30" i="103" s="1"/>
  <c r="E196" i="121"/>
  <c r="E5"/>
  <c r="F5" i="103" s="1"/>
  <c r="D33" i="121"/>
  <c r="E34" i="103" s="1"/>
  <c r="E197" i="121"/>
  <c r="E6"/>
  <c r="F6" i="103" s="1"/>
  <c r="L20" i="7"/>
  <c r="M37" i="79"/>
  <c r="M41" s="1"/>
  <c r="M42" s="1"/>
  <c r="F36" i="1"/>
  <c r="F38" s="1"/>
  <c r="F40" s="1"/>
  <c r="F42" s="1"/>
  <c r="G11" i="130" s="1"/>
  <c r="F71" i="1"/>
  <c r="D65"/>
  <c r="E36"/>
  <c r="E38" s="1"/>
  <c r="E40" s="1"/>
  <c r="E42" s="1"/>
  <c r="F11" i="130" s="1"/>
  <c r="C112" i="82"/>
  <c r="K14" i="44"/>
  <c r="E16"/>
  <c r="E15"/>
  <c r="D13" i="32"/>
  <c r="M25" i="7"/>
  <c r="E76" i="79"/>
  <c r="M43" s="1"/>
  <c r="D87" i="82"/>
  <c r="K15" i="44"/>
  <c r="F34" i="54"/>
  <c r="G42" i="79"/>
  <c r="K12" i="44"/>
  <c r="E142" i="68"/>
  <c r="E15" i="103"/>
  <c r="D81" i="82"/>
  <c r="G38" i="32"/>
  <c r="G39" s="1"/>
  <c r="L12" i="44"/>
  <c r="O33" i="50"/>
  <c r="O38" s="1"/>
  <c r="N33"/>
  <c r="N38" s="1"/>
  <c r="N33" i="67"/>
  <c r="N38" s="1"/>
  <c r="L16" i="44"/>
  <c r="N8" i="90"/>
  <c r="L8"/>
  <c r="S31" i="89"/>
  <c r="Q36"/>
  <c r="R40"/>
  <c r="E61" s="1"/>
  <c r="E120" i="68" s="1"/>
  <c r="H86" i="74"/>
  <c r="N16" i="90"/>
  <c r="L16"/>
  <c r="N40" i="72"/>
  <c r="N44" s="1"/>
  <c r="L44"/>
  <c r="N27"/>
  <c r="L30"/>
  <c r="P16"/>
  <c r="T25" i="73"/>
  <c r="H33" i="67"/>
  <c r="H38" s="1"/>
  <c r="O30"/>
  <c r="O33" s="1"/>
  <c r="O38" s="1"/>
  <c r="J9" i="96"/>
  <c r="S34" i="79" s="1"/>
  <c r="W13" i="96"/>
  <c r="L7"/>
  <c r="N18" i="90"/>
  <c r="L18"/>
  <c r="T24" i="73"/>
  <c r="M87"/>
  <c r="S86"/>
  <c r="N87"/>
  <c r="M75"/>
  <c r="N75"/>
  <c r="E7" i="45"/>
  <c r="E20"/>
  <c r="P38" i="73"/>
  <c r="Q37"/>
  <c r="T37" s="1"/>
  <c r="Q38"/>
  <c r="T38" s="1"/>
  <c r="S37"/>
  <c r="F95" i="82"/>
  <c r="H8" i="93"/>
  <c r="S16" i="73"/>
  <c r="R114"/>
  <c r="D57" i="74"/>
  <c r="E57"/>
  <c r="H57" s="1"/>
  <c r="G56"/>
  <c r="E56"/>
  <c r="H56" s="1"/>
  <c r="Q37" i="85"/>
  <c r="O42"/>
  <c r="Q42" s="1"/>
  <c r="N54" i="72"/>
  <c r="L58"/>
  <c r="T57" i="68"/>
  <c r="V57" s="1"/>
  <c r="O57"/>
  <c r="L93"/>
  <c r="T93" s="1"/>
  <c r="V93" s="1"/>
  <c r="T68" i="73"/>
  <c r="P85" i="82"/>
  <c r="P97" s="1"/>
  <c r="M97"/>
  <c r="L10" i="68"/>
  <c r="T10" s="1"/>
  <c r="V10" s="1"/>
  <c r="T7"/>
  <c r="V7" s="1"/>
  <c r="O30" i="79"/>
  <c r="O34" s="1"/>
  <c r="N30"/>
  <c r="N34" s="1"/>
  <c r="H6" i="75"/>
  <c r="H7" s="1"/>
  <c r="H8" s="1"/>
  <c r="I6"/>
  <c r="D71" i="78"/>
  <c r="Q11" i="85"/>
  <c r="P26" i="73"/>
  <c r="Q26" s="1"/>
  <c r="T26" s="1"/>
  <c r="N28"/>
  <c r="M28"/>
  <c r="D71" i="77"/>
  <c r="E71"/>
  <c r="G12" i="38"/>
  <c r="E180" i="94"/>
  <c r="E184" s="1"/>
  <c r="E115" i="68"/>
  <c r="M10" i="90"/>
  <c r="M20" i="88"/>
  <c r="K30" i="72"/>
  <c r="Q26" i="85"/>
  <c r="I77" i="94"/>
  <c r="I79" s="1"/>
  <c r="K71"/>
  <c r="V110" i="68"/>
  <c r="V111" s="1"/>
  <c r="S25" i="73"/>
  <c r="T86"/>
  <c r="N74"/>
  <c r="Q5" i="86"/>
  <c r="Q48" s="1"/>
  <c r="O48"/>
  <c r="E15" i="77"/>
  <c r="P8" i="73"/>
  <c r="X8"/>
  <c r="AA8" s="1"/>
  <c r="X7"/>
  <c r="Q8"/>
  <c r="O50" i="85"/>
  <c r="D87" i="74"/>
  <c r="E87"/>
  <c r="H87" s="1"/>
  <c r="G86"/>
  <c r="N107" i="73"/>
  <c r="M107"/>
  <c r="N106"/>
  <c r="H4" i="93"/>
  <c r="F103" i="82"/>
  <c r="P102" i="73"/>
  <c r="Q102" s="1"/>
  <c r="T102" s="1"/>
  <c r="Q101"/>
  <c r="T101" s="1"/>
  <c r="S101"/>
  <c r="N12" i="90"/>
  <c r="L12"/>
  <c r="G20" i="32"/>
  <c r="D22" i="27"/>
  <c r="D23" s="1"/>
  <c r="D25" s="1"/>
  <c r="Z5" i="73"/>
  <c r="T52"/>
  <c r="N48" i="72"/>
  <c r="L51"/>
  <c r="T84" i="73"/>
  <c r="H70" i="74"/>
  <c r="L14" i="90"/>
  <c r="N14"/>
  <c r="R20" i="88"/>
  <c r="C34"/>
  <c r="D103" i="77"/>
  <c r="E103"/>
  <c r="AA13" i="79"/>
  <c r="AA14" s="1"/>
  <c r="AB11"/>
  <c r="R47" i="85"/>
  <c r="P48"/>
  <c r="P50" s="1"/>
  <c r="L103" i="68"/>
  <c r="O101"/>
  <c r="O103" s="1"/>
  <c r="Z101"/>
  <c r="Z103" s="1"/>
  <c r="I11" i="77"/>
  <c r="H11"/>
  <c r="S8" i="72"/>
  <c r="N44" i="73"/>
  <c r="M44"/>
  <c r="G13" i="58"/>
  <c r="F23" i="32"/>
  <c r="F28" s="1"/>
  <c r="F19" s="1"/>
  <c r="K16" i="72"/>
  <c r="E60" i="89"/>
  <c r="E119" i="68" s="1"/>
  <c r="S9" i="72"/>
  <c r="T100" i="73"/>
  <c r="D87" i="78"/>
  <c r="E87"/>
  <c r="T54" i="73"/>
  <c r="K33" i="94"/>
  <c r="L33" s="1"/>
  <c r="K40"/>
  <c r="L40" s="1"/>
  <c r="N40" s="1"/>
  <c r="K6"/>
  <c r="L6" s="1"/>
  <c r="K22"/>
  <c r="L22" s="1"/>
  <c r="N22" s="1"/>
  <c r="K50"/>
  <c r="K51"/>
  <c r="K4"/>
  <c r="L4" s="1"/>
  <c r="K17"/>
  <c r="K53"/>
  <c r="K37"/>
  <c r="L37" s="1"/>
  <c r="N37" s="1"/>
  <c r="K11"/>
  <c r="L11" s="1"/>
  <c r="K34"/>
  <c r="L34" s="1"/>
  <c r="N34" s="1"/>
  <c r="K61"/>
  <c r="K27"/>
  <c r="L27" s="1"/>
  <c r="N27" s="1"/>
  <c r="K38"/>
  <c r="L38" s="1"/>
  <c r="N38" s="1"/>
  <c r="T36" i="73"/>
  <c r="K51" i="72"/>
  <c r="O49"/>
  <c r="G46" i="71"/>
  <c r="W6" i="73"/>
  <c r="Z6" s="1"/>
  <c r="M7"/>
  <c r="S6"/>
  <c r="N33" i="72"/>
  <c r="L37"/>
  <c r="K44"/>
  <c r="L56" i="67"/>
  <c r="O47"/>
  <c r="O56" s="1"/>
  <c r="P70" i="73"/>
  <c r="Q70"/>
  <c r="T70" s="1"/>
  <c r="Q69"/>
  <c r="T69" s="1"/>
  <c r="S69"/>
  <c r="N19" i="72"/>
  <c r="L23"/>
  <c r="O62"/>
  <c r="O65" s="1"/>
  <c r="K65"/>
  <c r="D87" i="77"/>
  <c r="AA7" i="79"/>
  <c r="AA8" s="1"/>
  <c r="AB5"/>
  <c r="D103" i="78"/>
  <c r="D73" i="74"/>
  <c r="E73" s="1"/>
  <c r="G72"/>
  <c r="D60" i="89"/>
  <c r="D119" i="68" s="1"/>
  <c r="D123" s="1"/>
  <c r="L15" i="44"/>
  <c r="F29" i="7"/>
  <c r="F32" s="1"/>
  <c r="O32" i="83"/>
  <c r="Q7" i="73"/>
  <c r="O93" i="68"/>
  <c r="T103"/>
  <c r="V103" s="1"/>
  <c r="D16" i="44"/>
  <c r="D15"/>
  <c r="D14"/>
  <c r="J15"/>
  <c r="J14"/>
  <c r="J16"/>
  <c r="D111" i="82"/>
  <c r="D98"/>
  <c r="D113" s="1"/>
  <c r="G18" i="6"/>
  <c r="G76" i="79"/>
  <c r="E68" i="1"/>
  <c r="F37" i="130" s="1"/>
  <c r="F46" s="1"/>
  <c r="F48" s="1"/>
  <c r="F50" s="1"/>
  <c r="G36" i="1"/>
  <c r="F14" i="44"/>
  <c r="F15"/>
  <c r="F16"/>
  <c r="D9" i="93"/>
  <c r="D10" s="1"/>
  <c r="D13" s="1"/>
  <c r="C81" i="82"/>
  <c r="C87"/>
  <c r="C96"/>
  <c r="I96"/>
  <c r="I81"/>
  <c r="I87" s="1"/>
  <c r="J80" s="1"/>
  <c r="I9" i="93"/>
  <c r="I10" s="1"/>
  <c r="I13" s="1"/>
  <c r="G29" i="7"/>
  <c r="G32" s="1"/>
  <c r="G35" s="1"/>
  <c r="G38" s="1"/>
  <c r="H13" i="130" s="1"/>
  <c r="T87" i="73" l="1"/>
  <c r="T115" i="121"/>
  <c r="H113"/>
  <c r="H6" i="76"/>
  <c r="H7" s="1"/>
  <c r="H8" s="1"/>
  <c r="I6"/>
  <c r="G102" i="74"/>
  <c r="D103"/>
  <c r="E103" s="1"/>
  <c r="H103" s="1"/>
  <c r="K42" i="94"/>
  <c r="L42" s="1"/>
  <c r="N42" s="1"/>
  <c r="V104" i="68"/>
  <c r="V105" s="1"/>
  <c r="L20" i="112"/>
  <c r="D38"/>
  <c r="J15" i="130"/>
  <c r="D169" i="121"/>
  <c r="F41" i="79"/>
  <c r="F44" s="1"/>
  <c r="D75" i="121"/>
  <c r="L9" i="90"/>
  <c r="N9"/>
  <c r="E102" i="74"/>
  <c r="H102" s="1"/>
  <c r="E13"/>
  <c r="D13"/>
  <c r="P88" i="73"/>
  <c r="T56"/>
  <c r="O40" i="72"/>
  <c r="O44" s="1"/>
  <c r="K28" i="94"/>
  <c r="L28" s="1"/>
  <c r="N28" s="1"/>
  <c r="Q28" s="1"/>
  <c r="K31"/>
  <c r="L31" s="1"/>
  <c r="N31" s="1"/>
  <c r="K23"/>
  <c r="L23" s="1"/>
  <c r="N23" s="1"/>
  <c r="P23" s="1"/>
  <c r="Q23" s="1"/>
  <c r="J5" i="93"/>
  <c r="K47" i="94"/>
  <c r="K44"/>
  <c r="L44" s="1"/>
  <c r="K32"/>
  <c r="L32" s="1"/>
  <c r="N32" s="1"/>
  <c r="K12"/>
  <c r="L12" s="1"/>
  <c r="N12" s="1"/>
  <c r="Q12" s="1"/>
  <c r="K9"/>
  <c r="L9" s="1"/>
  <c r="K39"/>
  <c r="L39" s="1"/>
  <c r="N39" s="1"/>
  <c r="K56"/>
  <c r="K14"/>
  <c r="L14" s="1"/>
  <c r="K49"/>
  <c r="K55"/>
  <c r="F21" i="130"/>
  <c r="F24" s="1"/>
  <c r="F26" s="1"/>
  <c r="N59" i="73"/>
  <c r="M59"/>
  <c r="Q87"/>
  <c r="D173" i="121"/>
  <c r="L10" i="38"/>
  <c r="I13"/>
  <c r="N16" i="72"/>
  <c r="O12"/>
  <c r="O16" s="1"/>
  <c r="K29" i="94"/>
  <c r="L29" s="1"/>
  <c r="N29" s="1"/>
  <c r="Q29" s="1"/>
  <c r="K52"/>
  <c r="AB52" s="1"/>
  <c r="K45"/>
  <c r="L45" s="1"/>
  <c r="N45" s="1"/>
  <c r="K26"/>
  <c r="L26" s="1"/>
  <c r="K41"/>
  <c r="L41" s="1"/>
  <c r="N41" s="1"/>
  <c r="K58"/>
  <c r="AB58" s="1"/>
  <c r="K15"/>
  <c r="L15" s="1"/>
  <c r="M15" s="1"/>
  <c r="E26" s="1"/>
  <c r="K5"/>
  <c r="L5" s="1"/>
  <c r="K35"/>
  <c r="L35" s="1"/>
  <c r="N35" s="1"/>
  <c r="K54"/>
  <c r="L54" s="1"/>
  <c r="N54" s="1"/>
  <c r="K16"/>
  <c r="L16" s="1"/>
  <c r="N16" s="1"/>
  <c r="Q16" s="1"/>
  <c r="K63"/>
  <c r="K48"/>
  <c r="K25"/>
  <c r="L25" s="1"/>
  <c r="N9" i="72"/>
  <c r="I118" i="121"/>
  <c r="U120"/>
  <c r="N20" i="90"/>
  <c r="L20"/>
  <c r="K57" i="94"/>
  <c r="K18"/>
  <c r="K30"/>
  <c r="L30" s="1"/>
  <c r="N30" s="1"/>
  <c r="Q30" s="1"/>
  <c r="K7"/>
  <c r="L7" s="1"/>
  <c r="M7" s="1"/>
  <c r="N7" s="1"/>
  <c r="Q7" s="1"/>
  <c r="K62"/>
  <c r="K46"/>
  <c r="K24"/>
  <c r="L24" s="1"/>
  <c r="N24" s="1"/>
  <c r="P24" s="1"/>
  <c r="Q24" s="1"/>
  <c r="K8"/>
  <c r="L8" s="1"/>
  <c r="N8" s="1"/>
  <c r="Q8" s="1"/>
  <c r="K13"/>
  <c r="L13" s="1"/>
  <c r="K43"/>
  <c r="L43" s="1"/>
  <c r="N43" s="1"/>
  <c r="K60"/>
  <c r="K10"/>
  <c r="L10" s="1"/>
  <c r="K36"/>
  <c r="L36" s="1"/>
  <c r="N36" s="1"/>
  <c r="G26" i="140"/>
  <c r="E161" i="121"/>
  <c r="P58" i="73"/>
  <c r="P128" i="121"/>
  <c r="D125"/>
  <c r="J14" i="31"/>
  <c r="L14" s="1"/>
  <c r="M11" s="1"/>
  <c r="M14" s="1"/>
  <c r="L11"/>
  <c r="E12" i="121"/>
  <c r="F12" i="103" s="1"/>
  <c r="E202" i="121"/>
  <c r="D198"/>
  <c r="D7"/>
  <c r="E7" i="103" s="1"/>
  <c r="K20" i="7"/>
  <c r="M20"/>
  <c r="E49"/>
  <c r="E52" s="1"/>
  <c r="E43" i="79" s="1"/>
  <c r="J65" i="82"/>
  <c r="J49" s="1"/>
  <c r="K49" s="1"/>
  <c r="L49" s="1"/>
  <c r="M49" s="1"/>
  <c r="F35" i="7"/>
  <c r="F38" s="1"/>
  <c r="G13" i="130" s="1"/>
  <c r="G21" s="1"/>
  <c r="G24" s="1"/>
  <c r="G26" s="1"/>
  <c r="D14" i="121"/>
  <c r="F27" i="32"/>
  <c r="F29" s="1"/>
  <c r="G23" s="1"/>
  <c r="G27" s="1"/>
  <c r="G29" s="1"/>
  <c r="R48" i="85"/>
  <c r="R50" s="1"/>
  <c r="E123" i="68"/>
  <c r="F6" i="92"/>
  <c r="G15" i="103"/>
  <c r="F15"/>
  <c r="H73" i="74"/>
  <c r="P32" i="94"/>
  <c r="Q32" s="1"/>
  <c r="Q39"/>
  <c r="P39"/>
  <c r="L49"/>
  <c r="N49" s="1"/>
  <c r="M29" i="73"/>
  <c r="N29" s="1"/>
  <c r="E72" i="78"/>
  <c r="D72"/>
  <c r="N76" i="73"/>
  <c r="M76"/>
  <c r="L9" i="96"/>
  <c r="T34" i="79" s="1"/>
  <c r="O31" s="1"/>
  <c r="O35" s="1"/>
  <c r="Y13" i="96"/>
  <c r="I13" i="54"/>
  <c r="AB7" i="79"/>
  <c r="AB8" s="1"/>
  <c r="AC5"/>
  <c r="N23" i="72"/>
  <c r="O19"/>
  <c r="O23" s="1"/>
  <c r="I39" i="112" s="1"/>
  <c r="P71" i="73"/>
  <c r="S70"/>
  <c r="N37" i="72"/>
  <c r="O33"/>
  <c r="O37" s="1"/>
  <c r="L52" i="94"/>
  <c r="N52" s="1"/>
  <c r="P41"/>
  <c r="Q41" s="1"/>
  <c r="L58"/>
  <c r="N58" s="1"/>
  <c r="M5"/>
  <c r="N5" s="1"/>
  <c r="Q5" s="1"/>
  <c r="P35"/>
  <c r="Q35" s="1"/>
  <c r="M16"/>
  <c r="V63"/>
  <c r="X63" s="1"/>
  <c r="L63"/>
  <c r="N63" s="1"/>
  <c r="L48"/>
  <c r="N48" s="1"/>
  <c r="V48"/>
  <c r="X48" s="1"/>
  <c r="E88" i="78"/>
  <c r="D88"/>
  <c r="N45" i="73"/>
  <c r="M45"/>
  <c r="E104" i="77"/>
  <c r="D104"/>
  <c r="E88" i="74"/>
  <c r="D88"/>
  <c r="G87"/>
  <c r="AA7" i="73"/>
  <c r="E16" i="77"/>
  <c r="E72"/>
  <c r="D72"/>
  <c r="P27" i="73"/>
  <c r="Q27" s="1"/>
  <c r="T27" s="1"/>
  <c r="S26"/>
  <c r="P39"/>
  <c r="Q39" s="1"/>
  <c r="S38"/>
  <c r="N88"/>
  <c r="S87"/>
  <c r="M88"/>
  <c r="E71" i="78"/>
  <c r="AB47" i="94"/>
  <c r="L47"/>
  <c r="N47" s="1"/>
  <c r="V47"/>
  <c r="X47" s="1"/>
  <c r="M12"/>
  <c r="O106" i="83"/>
  <c r="O109" s="1"/>
  <c r="R32"/>
  <c r="R106" s="1"/>
  <c r="D74" i="74"/>
  <c r="E74"/>
  <c r="H74" s="1"/>
  <c r="G73"/>
  <c r="E104" i="78"/>
  <c r="D104"/>
  <c r="E88" i="77"/>
  <c r="D88"/>
  <c r="I41" i="6"/>
  <c r="G91" i="121" s="1"/>
  <c r="L13" i="20"/>
  <c r="S7" i="73"/>
  <c r="W7"/>
  <c r="Z7" s="1"/>
  <c r="M8"/>
  <c r="N8"/>
  <c r="T8" s="1"/>
  <c r="P38" i="94"/>
  <c r="Q38" s="1"/>
  <c r="P27"/>
  <c r="Q27" s="1"/>
  <c r="L61"/>
  <c r="P34"/>
  <c r="Q34" s="1"/>
  <c r="M11"/>
  <c r="N11" s="1"/>
  <c r="Q11" s="1"/>
  <c r="P37"/>
  <c r="Q37" s="1"/>
  <c r="L53"/>
  <c r="N53" s="1"/>
  <c r="L17"/>
  <c r="M4"/>
  <c r="L51"/>
  <c r="N51" s="1"/>
  <c r="L50"/>
  <c r="N50" s="1"/>
  <c r="P22"/>
  <c r="M6"/>
  <c r="N6" s="1"/>
  <c r="Q6" s="1"/>
  <c r="P40"/>
  <c r="Q40" s="1"/>
  <c r="M33"/>
  <c r="N33"/>
  <c r="AC11" i="79"/>
  <c r="AB13"/>
  <c r="AB14" s="1"/>
  <c r="M108" i="73"/>
  <c r="N108"/>
  <c r="J4" i="93"/>
  <c r="K68" i="94"/>
  <c r="L68" s="1"/>
  <c r="K69"/>
  <c r="L69" s="1"/>
  <c r="N69" s="1"/>
  <c r="K70"/>
  <c r="L70" s="1"/>
  <c r="N70" s="1"/>
  <c r="K66"/>
  <c r="L66" s="1"/>
  <c r="K67"/>
  <c r="L67" s="1"/>
  <c r="H9" i="75"/>
  <c r="H10" s="1"/>
  <c r="H11" s="1"/>
  <c r="I9"/>
  <c r="N31" i="79"/>
  <c r="N35" s="1"/>
  <c r="N37" s="1"/>
  <c r="N41" s="1"/>
  <c r="N42" s="1"/>
  <c r="N30" i="72"/>
  <c r="O27"/>
  <c r="O30" s="1"/>
  <c r="I50" i="112" s="1"/>
  <c r="Q43" i="85"/>
  <c r="P31" i="94"/>
  <c r="Q31" s="1"/>
  <c r="M44"/>
  <c r="N44" s="1"/>
  <c r="Q44" s="1"/>
  <c r="M9"/>
  <c r="N9" s="1"/>
  <c r="Q9" s="1"/>
  <c r="L56"/>
  <c r="N56" s="1"/>
  <c r="L55"/>
  <c r="N55" s="1"/>
  <c r="L57"/>
  <c r="N57" s="1"/>
  <c r="L18"/>
  <c r="V62"/>
  <c r="X62" s="1"/>
  <c r="L62"/>
  <c r="N62" s="1"/>
  <c r="L46"/>
  <c r="N46" s="1"/>
  <c r="M8"/>
  <c r="M13"/>
  <c r="N13" s="1"/>
  <c r="Q13" s="1"/>
  <c r="P43"/>
  <c r="Q43" s="1"/>
  <c r="L60"/>
  <c r="P36"/>
  <c r="Q36" s="1"/>
  <c r="L59"/>
  <c r="N59" s="1"/>
  <c r="I12" i="77"/>
  <c r="H12"/>
  <c r="N51" i="72"/>
  <c r="O48"/>
  <c r="O51" s="1"/>
  <c r="P103" i="73"/>
  <c r="Q103"/>
  <c r="T103" s="1"/>
  <c r="S102"/>
  <c r="P9"/>
  <c r="Q9" s="1"/>
  <c r="X9"/>
  <c r="AA9" s="1"/>
  <c r="N10" i="90"/>
  <c r="L10"/>
  <c r="N58" i="72"/>
  <c r="O54"/>
  <c r="O58" s="1"/>
  <c r="G57" i="74"/>
  <c r="D58"/>
  <c r="E58" s="1"/>
  <c r="H58" s="1"/>
  <c r="E8" i="45"/>
  <c r="E11" s="1"/>
  <c r="E103" i="78"/>
  <c r="E87" i="77"/>
  <c r="N7" i="73"/>
  <c r="O43" i="85"/>
  <c r="G38" i="1"/>
  <c r="G40" s="1"/>
  <c r="G42" s="1"/>
  <c r="I98" i="82"/>
  <c r="I113" s="1"/>
  <c r="I111"/>
  <c r="J69"/>
  <c r="K69" s="1"/>
  <c r="J72"/>
  <c r="K72" s="1"/>
  <c r="J74"/>
  <c r="K74" s="1"/>
  <c r="J76"/>
  <c r="K76" s="1"/>
  <c r="J78"/>
  <c r="K78" s="1"/>
  <c r="J68"/>
  <c r="K68" s="1"/>
  <c r="J8" i="93"/>
  <c r="J71" i="82"/>
  <c r="K71" s="1"/>
  <c r="J73"/>
  <c r="K73" s="1"/>
  <c r="J75"/>
  <c r="K75" s="1"/>
  <c r="J77"/>
  <c r="K77" s="1"/>
  <c r="J79"/>
  <c r="K79" s="1"/>
  <c r="J70"/>
  <c r="K70" s="1"/>
  <c r="M70" s="1"/>
  <c r="C111"/>
  <c r="C98"/>
  <c r="C113" s="1"/>
  <c r="E67" i="1"/>
  <c r="E71" s="1"/>
  <c r="E41" i="79" s="1"/>
  <c r="G20" i="6"/>
  <c r="F30" i="32"/>
  <c r="F20"/>
  <c r="Q45" i="94" l="1"/>
  <c r="N25"/>
  <c r="Q25" s="1"/>
  <c r="N10"/>
  <c r="Q10" s="1"/>
  <c r="D14" i="74"/>
  <c r="E14"/>
  <c r="P45" i="94"/>
  <c r="P42"/>
  <c r="Q42" s="1"/>
  <c r="H38" i="112"/>
  <c r="D42"/>
  <c r="G24" i="54" s="1"/>
  <c r="H9" i="76"/>
  <c r="H10" s="1"/>
  <c r="H11" s="1"/>
  <c r="I9"/>
  <c r="J25" i="82"/>
  <c r="K25" s="1"/>
  <c r="L25" s="1"/>
  <c r="M25" s="1"/>
  <c r="M10" i="94"/>
  <c r="AB55"/>
  <c r="J6" i="93"/>
  <c r="M14" i="94"/>
  <c r="N14" s="1"/>
  <c r="Q14" s="1"/>
  <c r="M25"/>
  <c r="AB54"/>
  <c r="U115" i="121"/>
  <c r="I113"/>
  <c r="P59" i="73"/>
  <c r="J19" i="130"/>
  <c r="V19" s="1"/>
  <c r="D176" i="121"/>
  <c r="N60" i="73"/>
  <c r="M60"/>
  <c r="S59"/>
  <c r="Q89"/>
  <c r="P89"/>
  <c r="V15" i="130"/>
  <c r="J21"/>
  <c r="J24" s="1"/>
  <c r="J26" s="1"/>
  <c r="J27" s="1"/>
  <c r="V27" s="1"/>
  <c r="AB46" i="94"/>
  <c r="V57"/>
  <c r="X57" s="1"/>
  <c r="V58"/>
  <c r="X58" s="1"/>
  <c r="D104" i="74"/>
  <c r="G103"/>
  <c r="N23" i="90"/>
  <c r="V46" i="94"/>
  <c r="X46" s="1"/>
  <c r="AB57"/>
  <c r="G113" i="121"/>
  <c r="S115"/>
  <c r="Q58" i="73"/>
  <c r="E173" i="121"/>
  <c r="L13" i="38"/>
  <c r="L12"/>
  <c r="E175" i="121" s="1"/>
  <c r="M10" i="38"/>
  <c r="S58" i="73"/>
  <c r="Q88"/>
  <c r="G14" i="143"/>
  <c r="G13"/>
  <c r="G15" s="1"/>
  <c r="G19" s="1"/>
  <c r="H11" i="130"/>
  <c r="J23" i="82"/>
  <c r="K23" s="1"/>
  <c r="L23" s="1"/>
  <c r="M23" s="1"/>
  <c r="P23" s="1"/>
  <c r="J29"/>
  <c r="K29" s="1"/>
  <c r="M29" s="1"/>
  <c r="J33"/>
  <c r="K33" s="1"/>
  <c r="M33" s="1"/>
  <c r="O33" s="1"/>
  <c r="P33" s="1"/>
  <c r="J14"/>
  <c r="K14" s="1"/>
  <c r="L14" s="1"/>
  <c r="M14" s="1"/>
  <c r="P14" s="1"/>
  <c r="J24"/>
  <c r="K24" s="1"/>
  <c r="M24" s="1"/>
  <c r="O24" s="1"/>
  <c r="P24" s="1"/>
  <c r="J17"/>
  <c r="K17" s="1"/>
  <c r="M17" s="1"/>
  <c r="J54"/>
  <c r="K54" s="1"/>
  <c r="L54" s="1"/>
  <c r="M54" s="1"/>
  <c r="E9" i="121"/>
  <c r="F9" i="103" s="1"/>
  <c r="E200" i="121"/>
  <c r="E33"/>
  <c r="F34" i="103" s="1"/>
  <c r="J63" i="82"/>
  <c r="K63" s="1"/>
  <c r="L63" s="1"/>
  <c r="M63" s="1"/>
  <c r="J18"/>
  <c r="K18" s="1"/>
  <c r="L18" s="1"/>
  <c r="M18" s="1"/>
  <c r="P18" s="1"/>
  <c r="J15"/>
  <c r="K15" s="1"/>
  <c r="J34"/>
  <c r="K34" s="1"/>
  <c r="L34" s="1"/>
  <c r="M34" s="1"/>
  <c r="P34" s="1"/>
  <c r="J48"/>
  <c r="K48" s="1"/>
  <c r="M48" s="1"/>
  <c r="O48" s="1"/>
  <c r="P48" s="1"/>
  <c r="J27"/>
  <c r="K27" s="1"/>
  <c r="M27" s="1"/>
  <c r="O27" s="1"/>
  <c r="P27" s="1"/>
  <c r="J38"/>
  <c r="K38" s="1"/>
  <c r="M38" s="1"/>
  <c r="J22"/>
  <c r="K22" s="1"/>
  <c r="J35"/>
  <c r="K35" s="1"/>
  <c r="L35" s="1"/>
  <c r="M35" s="1"/>
  <c r="P35" s="1"/>
  <c r="F12" i="121"/>
  <c r="G12" i="103" s="1"/>
  <c r="F202" i="121"/>
  <c r="J62" i="82"/>
  <c r="K62" s="1"/>
  <c r="L62" s="1"/>
  <c r="M62" s="1"/>
  <c r="J9"/>
  <c r="K9" s="1"/>
  <c r="L9" s="1"/>
  <c r="M9" s="1"/>
  <c r="P9" s="1"/>
  <c r="J30"/>
  <c r="K30" s="1"/>
  <c r="M30" s="1"/>
  <c r="O30" s="1"/>
  <c r="P30" s="1"/>
  <c r="J59"/>
  <c r="K59" s="1"/>
  <c r="J37"/>
  <c r="K37" s="1"/>
  <c r="M37" s="1"/>
  <c r="O37" s="1"/>
  <c r="P37" s="1"/>
  <c r="J40"/>
  <c r="K40" s="1"/>
  <c r="M40" s="1"/>
  <c r="O40" s="1"/>
  <c r="P40" s="1"/>
  <c r="J60"/>
  <c r="K60" s="1"/>
  <c r="L60" s="1"/>
  <c r="M60" s="1"/>
  <c r="J16"/>
  <c r="K16" s="1"/>
  <c r="M16" s="1"/>
  <c r="J3"/>
  <c r="K3" s="1"/>
  <c r="J51"/>
  <c r="K51" s="1"/>
  <c r="L51" s="1"/>
  <c r="J43"/>
  <c r="K43" s="1"/>
  <c r="M43" s="1"/>
  <c r="O43" s="1"/>
  <c r="P43" s="1"/>
  <c r="J5"/>
  <c r="K5" s="1"/>
  <c r="J13"/>
  <c r="K13" s="1"/>
  <c r="L13" s="1"/>
  <c r="M13" s="1"/>
  <c r="P13" s="1"/>
  <c r="J44"/>
  <c r="K44" s="1"/>
  <c r="L44" s="1"/>
  <c r="M44" s="1"/>
  <c r="O44" s="1"/>
  <c r="P44" s="1"/>
  <c r="J45"/>
  <c r="K45" s="1"/>
  <c r="M45" s="1"/>
  <c r="O45" s="1"/>
  <c r="P45" s="1"/>
  <c r="J7"/>
  <c r="K7" s="1"/>
  <c r="J11"/>
  <c r="K11" s="1"/>
  <c r="L11" s="1"/>
  <c r="M11" s="1"/>
  <c r="P11" s="1"/>
  <c r="J8"/>
  <c r="K8" s="1"/>
  <c r="J4"/>
  <c r="K4" s="1"/>
  <c r="L4" s="1"/>
  <c r="M4" s="1"/>
  <c r="P4" s="1"/>
  <c r="J52"/>
  <c r="K52" s="1"/>
  <c r="J50"/>
  <c r="K50" s="1"/>
  <c r="J57"/>
  <c r="K57" s="1"/>
  <c r="L57" s="1"/>
  <c r="M57" s="1"/>
  <c r="J12"/>
  <c r="K12" s="1"/>
  <c r="L12" s="1"/>
  <c r="M12" s="1"/>
  <c r="P12" s="1"/>
  <c r="J36"/>
  <c r="K36" s="1"/>
  <c r="J6"/>
  <c r="K6" s="1"/>
  <c r="L6" s="1"/>
  <c r="M6" s="1"/>
  <c r="P6" s="1"/>
  <c r="J42"/>
  <c r="K42" s="1"/>
  <c r="M42" s="1"/>
  <c r="O42" s="1"/>
  <c r="P42" s="1"/>
  <c r="J32"/>
  <c r="K32" s="1"/>
  <c r="M32" s="1"/>
  <c r="O32" s="1"/>
  <c r="P32" s="1"/>
  <c r="J56"/>
  <c r="K56" s="1"/>
  <c r="L56" s="1"/>
  <c r="M56" s="1"/>
  <c r="J10"/>
  <c r="K10" s="1"/>
  <c r="L10" s="1"/>
  <c r="M10" s="1"/>
  <c r="P10" s="1"/>
  <c r="J9" i="93"/>
  <c r="J10" s="1"/>
  <c r="J13" s="1"/>
  <c r="J31" i="82"/>
  <c r="K31" s="1"/>
  <c r="M31" s="1"/>
  <c r="O31" s="1"/>
  <c r="P31" s="1"/>
  <c r="J58"/>
  <c r="K58" s="1"/>
  <c r="J39"/>
  <c r="K39" s="1"/>
  <c r="M39" s="1"/>
  <c r="O39" s="1"/>
  <c r="P39" s="1"/>
  <c r="J53"/>
  <c r="K53" s="1"/>
  <c r="L53" s="1"/>
  <c r="M53" s="1"/>
  <c r="J55"/>
  <c r="K55" s="1"/>
  <c r="L55" s="1"/>
  <c r="M55" s="1"/>
  <c r="J26"/>
  <c r="K26" s="1"/>
  <c r="J47"/>
  <c r="K47" s="1"/>
  <c r="M47" s="1"/>
  <c r="O47" s="1"/>
  <c r="J41"/>
  <c r="K41" s="1"/>
  <c r="M41" s="1"/>
  <c r="O41" s="1"/>
  <c r="P41" s="1"/>
  <c r="J46"/>
  <c r="K46" s="1"/>
  <c r="M46" s="1"/>
  <c r="O46" s="1"/>
  <c r="P46" s="1"/>
  <c r="J28"/>
  <c r="K28" s="1"/>
  <c r="L28" s="1"/>
  <c r="M28" s="1"/>
  <c r="P28" s="1"/>
  <c r="E14" i="103"/>
  <c r="E14" i="121"/>
  <c r="I114" i="82"/>
  <c r="G6" i="92"/>
  <c r="G7" s="1"/>
  <c r="F40" i="112" s="1"/>
  <c r="E9" i="45"/>
  <c r="E16" s="1"/>
  <c r="T39" i="73"/>
  <c r="H13" i="77"/>
  <c r="I13"/>
  <c r="P56" i="94"/>
  <c r="Q56" s="1"/>
  <c r="L71"/>
  <c r="K4" i="93" s="1"/>
  <c r="M66" i="94"/>
  <c r="M17"/>
  <c r="N17" s="1"/>
  <c r="V17" s="1"/>
  <c r="X17" s="1"/>
  <c r="X146" s="1"/>
  <c r="X147" s="1"/>
  <c r="I26"/>
  <c r="E64"/>
  <c r="P72" i="73"/>
  <c r="S71"/>
  <c r="M77"/>
  <c r="N77"/>
  <c r="P49" i="94"/>
  <c r="Q49" s="1"/>
  <c r="T7" i="73"/>
  <c r="E14" i="45"/>
  <c r="E12"/>
  <c r="E13"/>
  <c r="P10" i="73"/>
  <c r="Q10" s="1"/>
  <c r="P104"/>
  <c r="Q104"/>
  <c r="T104" s="1"/>
  <c r="S103"/>
  <c r="P46" i="94"/>
  <c r="Q46"/>
  <c r="M67"/>
  <c r="N67" s="1"/>
  <c r="M68"/>
  <c r="N68" s="1"/>
  <c r="AD11" i="79"/>
  <c r="AC13"/>
  <c r="AC14" s="1"/>
  <c r="D89" i="77"/>
  <c r="E89"/>
  <c r="N89" i="73"/>
  <c r="S88"/>
  <c r="M89"/>
  <c r="D105" i="77"/>
  <c r="E105"/>
  <c r="P63" i="94"/>
  <c r="Q63"/>
  <c r="D73" i="78"/>
  <c r="E73"/>
  <c r="AB62" i="94"/>
  <c r="V55"/>
  <c r="X55" s="1"/>
  <c r="AB56"/>
  <c r="V50"/>
  <c r="X50" s="1"/>
  <c r="AB51"/>
  <c r="V53"/>
  <c r="X53" s="1"/>
  <c r="N15"/>
  <c r="Q15" s="1"/>
  <c r="Q71" i="73"/>
  <c r="AB49" i="94"/>
  <c r="P59"/>
  <c r="Q59" s="1"/>
  <c r="P50"/>
  <c r="Q50" s="1"/>
  <c r="M18"/>
  <c r="N18" s="1"/>
  <c r="V18" s="1"/>
  <c r="X18" s="1"/>
  <c r="I12" i="75"/>
  <c r="H12"/>
  <c r="H13" s="1"/>
  <c r="H14" s="1"/>
  <c r="P69" i="94"/>
  <c r="Q69" s="1"/>
  <c r="Q33"/>
  <c r="P33"/>
  <c r="P51"/>
  <c r="Q51" s="1"/>
  <c r="P53"/>
  <c r="Q53" s="1"/>
  <c r="M61"/>
  <c r="N61" s="1"/>
  <c r="Q61" s="1"/>
  <c r="D73" i="77"/>
  <c r="E73"/>
  <c r="H88" i="74"/>
  <c r="N46" i="73"/>
  <c r="M46"/>
  <c r="P48" i="94"/>
  <c r="Q48" s="1"/>
  <c r="P54"/>
  <c r="Q54" s="1"/>
  <c r="P52"/>
  <c r="Q52"/>
  <c r="AC7" i="79"/>
  <c r="AC8" s="1"/>
  <c r="AD5"/>
  <c r="AB59" i="94"/>
  <c r="V56"/>
  <c r="X56" s="1"/>
  <c r="AB50"/>
  <c r="V49"/>
  <c r="X49" s="1"/>
  <c r="P40" i="73"/>
  <c r="Q40" s="1"/>
  <c r="S39"/>
  <c r="D89" i="78"/>
  <c r="E89"/>
  <c r="G58" i="74"/>
  <c r="D59"/>
  <c r="E59" s="1"/>
  <c r="M60" i="94"/>
  <c r="N60" s="1"/>
  <c r="Q60" s="1"/>
  <c r="P62"/>
  <c r="Q62"/>
  <c r="P57"/>
  <c r="Q57" s="1"/>
  <c r="P55"/>
  <c r="Q55" s="1"/>
  <c r="P70"/>
  <c r="Q70" s="1"/>
  <c r="M109" i="73"/>
  <c r="N109"/>
  <c r="W8"/>
  <c r="M9"/>
  <c r="S8"/>
  <c r="N9"/>
  <c r="T9" s="1"/>
  <c r="D105" i="78"/>
  <c r="E105"/>
  <c r="G74" i="74"/>
  <c r="D75"/>
  <c r="Q47" i="94"/>
  <c r="P47"/>
  <c r="T88" i="73"/>
  <c r="P28"/>
  <c r="Q28" s="1"/>
  <c r="T28" s="1"/>
  <c r="S27"/>
  <c r="D89" i="74"/>
  <c r="E89" s="1"/>
  <c r="G88"/>
  <c r="P58" i="94"/>
  <c r="Q58" s="1"/>
  <c r="M30" i="73"/>
  <c r="N30"/>
  <c r="L64" i="94"/>
  <c r="V59"/>
  <c r="X59" s="1"/>
  <c r="Q22"/>
  <c r="V51"/>
  <c r="X51" s="1"/>
  <c r="N4"/>
  <c r="AB53"/>
  <c r="AB48"/>
  <c r="AB63"/>
  <c r="V54"/>
  <c r="X54" s="1"/>
  <c r="X152" s="1"/>
  <c r="V52"/>
  <c r="X52" s="1"/>
  <c r="L7" i="82"/>
  <c r="M7" s="1"/>
  <c r="P7" s="1"/>
  <c r="O70"/>
  <c r="O80" s="1"/>
  <c r="L69"/>
  <c r="M69" s="1"/>
  <c r="P69" s="1"/>
  <c r="O38"/>
  <c r="P38" s="1"/>
  <c r="E38" i="6"/>
  <c r="E42" s="1"/>
  <c r="E42" i="79" s="1"/>
  <c r="E44" s="1"/>
  <c r="G24" i="6"/>
  <c r="G27" s="1"/>
  <c r="L75" i="82"/>
  <c r="M75" s="1"/>
  <c r="P75" s="1"/>
  <c r="K80"/>
  <c r="K8" i="93" s="1"/>
  <c r="L68" i="82"/>
  <c r="M68" s="1"/>
  <c r="L72"/>
  <c r="M72" s="1"/>
  <c r="P72" s="1"/>
  <c r="O16"/>
  <c r="P16" s="1"/>
  <c r="L3"/>
  <c r="L36"/>
  <c r="M36" s="1"/>
  <c r="P36" s="1"/>
  <c r="C114"/>
  <c r="L73"/>
  <c r="M73" s="1"/>
  <c r="P73" s="1"/>
  <c r="O29"/>
  <c r="P29" s="1"/>
  <c r="L5"/>
  <c r="M5" s="1"/>
  <c r="P5" s="1"/>
  <c r="L15"/>
  <c r="M15" s="1"/>
  <c r="L77"/>
  <c r="M77" s="1"/>
  <c r="P77" s="1"/>
  <c r="L74"/>
  <c r="M74" s="1"/>
  <c r="P74" s="1"/>
  <c r="L50"/>
  <c r="M50" s="1"/>
  <c r="L78"/>
  <c r="M78" s="1"/>
  <c r="P78" s="1"/>
  <c r="O17"/>
  <c r="P17" s="1"/>
  <c r="L59"/>
  <c r="M59" s="1"/>
  <c r="L79"/>
  <c r="M79" s="1"/>
  <c r="P79" s="1"/>
  <c r="L71"/>
  <c r="M71" s="1"/>
  <c r="P71" s="1"/>
  <c r="L76"/>
  <c r="M76" s="1"/>
  <c r="P76" s="1"/>
  <c r="L52"/>
  <c r="M52" s="1"/>
  <c r="L58"/>
  <c r="M58" s="1"/>
  <c r="L22"/>
  <c r="M22" s="1"/>
  <c r="P22" s="1"/>
  <c r="F173" i="121" l="1"/>
  <c r="M13" i="38"/>
  <c r="D15" i="74"/>
  <c r="H3" s="1"/>
  <c r="E15"/>
  <c r="E16" s="1"/>
  <c r="P9" i="112" s="1"/>
  <c r="N24" i="90"/>
  <c r="J70" i="1" s="1"/>
  <c r="H74" i="121" s="1"/>
  <c r="D6" i="104"/>
  <c r="M12" i="38"/>
  <c r="F175" i="121" s="1"/>
  <c r="K19" i="130"/>
  <c r="W19" s="1"/>
  <c r="E176" i="121"/>
  <c r="S60" i="73"/>
  <c r="M61"/>
  <c r="Q60"/>
  <c r="T60" s="1"/>
  <c r="P60"/>
  <c r="I12" i="76"/>
  <c r="H12"/>
  <c r="H13" s="1"/>
  <c r="H14" s="1"/>
  <c r="T58" i="73"/>
  <c r="V21" i="130"/>
  <c r="V24" s="1"/>
  <c r="V26" s="1"/>
  <c r="V28" s="1"/>
  <c r="T89" i="73"/>
  <c r="E104" i="74"/>
  <c r="H104" s="1"/>
  <c r="D105"/>
  <c r="G104"/>
  <c r="P90" i="73"/>
  <c r="Q90" s="1"/>
  <c r="Q59"/>
  <c r="T59" s="1"/>
  <c r="G24" i="140"/>
  <c r="E159" i="121"/>
  <c r="G13" i="35"/>
  <c r="H12" i="130"/>
  <c r="G14" i="35"/>
  <c r="G15" s="1"/>
  <c r="G19" s="1"/>
  <c r="H17" i="130" s="1"/>
  <c r="E30" i="121"/>
  <c r="F31" i="103" s="1"/>
  <c r="D17" i="121"/>
  <c r="E17" i="103" s="1"/>
  <c r="D205" i="121"/>
  <c r="G202"/>
  <c r="G12"/>
  <c r="H12" i="103" s="1"/>
  <c r="K65" i="82"/>
  <c r="M51"/>
  <c r="L8"/>
  <c r="M8" s="1"/>
  <c r="P8" s="1"/>
  <c r="P47"/>
  <c r="I40" i="112"/>
  <c r="F42"/>
  <c r="G25" i="54" s="1"/>
  <c r="G25" i="140" s="1"/>
  <c r="H40" i="112"/>
  <c r="F14" i="103"/>
  <c r="H15"/>
  <c r="E18" i="45"/>
  <c r="E17"/>
  <c r="T40" i="73"/>
  <c r="H89" i="74"/>
  <c r="H59"/>
  <c r="Q71" i="94"/>
  <c r="D76" i="74"/>
  <c r="G75"/>
  <c r="Z8" i="73"/>
  <c r="T71"/>
  <c r="S89"/>
  <c r="M90"/>
  <c r="N90" s="1"/>
  <c r="I12" i="54"/>
  <c r="I15" s="1"/>
  <c r="I18" s="1"/>
  <c r="K5" i="93"/>
  <c r="L72" i="94"/>
  <c r="N31" i="73"/>
  <c r="M31"/>
  <c r="S9"/>
  <c r="W9"/>
  <c r="Z9" s="1"/>
  <c r="M10"/>
  <c r="N10"/>
  <c r="T10" s="1"/>
  <c r="M110"/>
  <c r="N110"/>
  <c r="H15" i="75"/>
  <c r="L3" s="1"/>
  <c r="L4" s="1"/>
  <c r="L5" s="1"/>
  <c r="I15"/>
  <c r="D74" i="78"/>
  <c r="E74" s="1"/>
  <c r="D106" i="77"/>
  <c r="P73" i="73"/>
  <c r="Q73" s="1"/>
  <c r="T73" s="1"/>
  <c r="S72"/>
  <c r="I16" i="75"/>
  <c r="M71" i="94"/>
  <c r="P70" i="82"/>
  <c r="V60" i="94"/>
  <c r="X60" s="1"/>
  <c r="M64"/>
  <c r="X10" i="73"/>
  <c r="V61" i="94"/>
  <c r="X61" s="1"/>
  <c r="X151" s="1"/>
  <c r="X153" s="1"/>
  <c r="D74" i="77"/>
  <c r="E74" s="1"/>
  <c r="D90"/>
  <c r="E90" s="1"/>
  <c r="D104" i="82"/>
  <c r="E72" i="94"/>
  <c r="E146"/>
  <c r="E5" i="93"/>
  <c r="E6" s="1"/>
  <c r="E13" s="1"/>
  <c r="P29" i="73"/>
  <c r="Q29"/>
  <c r="S28"/>
  <c r="AD7" i="79"/>
  <c r="AD8" s="1"/>
  <c r="AE5"/>
  <c r="M47" i="73"/>
  <c r="N47"/>
  <c r="N48" s="1"/>
  <c r="AE11" i="79"/>
  <c r="AD13"/>
  <c r="AD14" s="1"/>
  <c r="M78" i="73"/>
  <c r="N78"/>
  <c r="I14" i="77"/>
  <c r="H14"/>
  <c r="AB60" i="94"/>
  <c r="E75" i="74"/>
  <c r="Q72" i="73"/>
  <c r="T72" s="1"/>
  <c r="N66" i="94"/>
  <c r="N71" s="1"/>
  <c r="D90" i="74"/>
  <c r="E90"/>
  <c r="H90" s="1"/>
  <c r="G89"/>
  <c r="E106" i="78"/>
  <c r="D106"/>
  <c r="P41" i="73"/>
  <c r="Q41" s="1"/>
  <c r="S40"/>
  <c r="P11"/>
  <c r="Q4" i="94"/>
  <c r="G59" i="74"/>
  <c r="D60"/>
  <c r="E60"/>
  <c r="H60" s="1"/>
  <c r="D90" i="78"/>
  <c r="P105" i="73"/>
  <c r="Q105"/>
  <c r="T105" s="1"/>
  <c r="S104"/>
  <c r="N26" i="94"/>
  <c r="I64"/>
  <c r="P71"/>
  <c r="AB64"/>
  <c r="K6" i="93"/>
  <c r="O25" i="82"/>
  <c r="P25" s="1"/>
  <c r="E26"/>
  <c r="E65" s="1"/>
  <c r="P15"/>
  <c r="F26" s="1"/>
  <c r="K81"/>
  <c r="K87" s="1"/>
  <c r="K9" i="93"/>
  <c r="K10" s="1"/>
  <c r="O8"/>
  <c r="O95" i="82"/>
  <c r="M80"/>
  <c r="P68"/>
  <c r="M3"/>
  <c r="L80"/>
  <c r="N62" i="73" l="1"/>
  <c r="M62"/>
  <c r="I4" i="74"/>
  <c r="H4"/>
  <c r="P91" i="73"/>
  <c r="Q91" s="1"/>
  <c r="I15" i="76"/>
  <c r="H16" s="1"/>
  <c r="H15"/>
  <c r="L3" s="1"/>
  <c r="L4" s="1"/>
  <c r="L5" s="1"/>
  <c r="E105" i="74"/>
  <c r="H105" s="1"/>
  <c r="G105"/>
  <c r="D106"/>
  <c r="P61" i="73"/>
  <c r="P62" s="1"/>
  <c r="N61"/>
  <c r="E5" i="104"/>
  <c r="E7" s="1"/>
  <c r="D7"/>
  <c r="F176" i="121"/>
  <c r="M19" i="130"/>
  <c r="Y19" s="1"/>
  <c r="E39" i="121"/>
  <c r="F40" i="103" s="1"/>
  <c r="D39" i="121"/>
  <c r="E40" i="103" s="1"/>
  <c r="F39" i="121"/>
  <c r="G40" i="103" s="1"/>
  <c r="L65" i="82"/>
  <c r="L96" s="1"/>
  <c r="E205" i="121"/>
  <c r="E17"/>
  <c r="F17" i="103" s="1"/>
  <c r="D207" i="121"/>
  <c r="D19"/>
  <c r="D147"/>
  <c r="E160"/>
  <c r="G27" i="54"/>
  <c r="E19" i="103"/>
  <c r="D51" i="112"/>
  <c r="H42"/>
  <c r="P80" i="82"/>
  <c r="P8" i="93" s="1"/>
  <c r="T41" i="73"/>
  <c r="D91" i="78"/>
  <c r="E91"/>
  <c r="P12" i="73"/>
  <c r="T29"/>
  <c r="D107" i="77"/>
  <c r="E107"/>
  <c r="T90" i="73"/>
  <c r="P103" i="82"/>
  <c r="P4" i="93"/>
  <c r="I72" i="94"/>
  <c r="H5" i="93"/>
  <c r="H6" s="1"/>
  <c r="F104" i="82"/>
  <c r="I146" i="94"/>
  <c r="P106" i="73"/>
  <c r="Q106" s="1"/>
  <c r="S105"/>
  <c r="G60" i="74"/>
  <c r="D61"/>
  <c r="E61" s="1"/>
  <c r="H61" s="1"/>
  <c r="D91" i="77"/>
  <c r="E91"/>
  <c r="L5" i="93"/>
  <c r="L104" i="82"/>
  <c r="L112" s="1"/>
  <c r="M72" i="94"/>
  <c r="L103" i="82"/>
  <c r="L4" i="93"/>
  <c r="L6" s="1"/>
  <c r="P74" i="73"/>
  <c r="S73"/>
  <c r="M6" i="75"/>
  <c r="L6"/>
  <c r="L7" s="1"/>
  <c r="L8" s="1"/>
  <c r="M111" i="73"/>
  <c r="N111"/>
  <c r="S90"/>
  <c r="N91"/>
  <c r="M91"/>
  <c r="D77" i="74"/>
  <c r="E77" s="1"/>
  <c r="H77" s="1"/>
  <c r="G76"/>
  <c r="X11" i="73"/>
  <c r="AA11" s="1"/>
  <c r="P26" i="94"/>
  <c r="P64" s="1"/>
  <c r="P42" i="73"/>
  <c r="S41"/>
  <c r="M4" i="93"/>
  <c r="M103" i="82"/>
  <c r="H75" i="74"/>
  <c r="E7" i="92"/>
  <c r="D106" i="82"/>
  <c r="D112"/>
  <c r="D114" s="1"/>
  <c r="D75" i="77"/>
  <c r="E75"/>
  <c r="D75" i="78"/>
  <c r="E75"/>
  <c r="N112" i="73"/>
  <c r="M11"/>
  <c r="S10"/>
  <c r="N11"/>
  <c r="W10"/>
  <c r="Z10" s="1"/>
  <c r="K13" i="93"/>
  <c r="E76" i="74"/>
  <c r="H76" s="1"/>
  <c r="M79" i="73"/>
  <c r="N79"/>
  <c r="O4" i="93"/>
  <c r="O103" i="82"/>
  <c r="D107" i="78"/>
  <c r="E107"/>
  <c r="G90" i="74"/>
  <c r="D91"/>
  <c r="E91" s="1"/>
  <c r="H15" i="77"/>
  <c r="L3" s="1"/>
  <c r="D49" i="112" s="1"/>
  <c r="H49" s="1"/>
  <c r="I15" i="77"/>
  <c r="I16" s="1"/>
  <c r="AE13" i="79"/>
  <c r="AE14" s="1"/>
  <c r="AF11"/>
  <c r="AF5"/>
  <c r="AE7"/>
  <c r="AE8" s="1"/>
  <c r="P30" i="73"/>
  <c r="Q30" s="1"/>
  <c r="S29"/>
  <c r="AA10"/>
  <c r="N32"/>
  <c r="E90" i="78"/>
  <c r="N64" i="94"/>
  <c r="Q11" i="73"/>
  <c r="E106" i="77"/>
  <c r="F7" i="92"/>
  <c r="F65" i="82"/>
  <c r="M26"/>
  <c r="P3"/>
  <c r="L8" i="93"/>
  <c r="L95" i="82"/>
  <c r="E81"/>
  <c r="E87" s="1"/>
  <c r="F9" i="93"/>
  <c r="F10" s="1"/>
  <c r="F13" s="1"/>
  <c r="E96" i="82"/>
  <c r="M95"/>
  <c r="M8" i="93"/>
  <c r="T62" i="73" l="1"/>
  <c r="T61"/>
  <c r="P95" i="82"/>
  <c r="T91" i="73"/>
  <c r="Q62"/>
  <c r="P63"/>
  <c r="Q63" s="1"/>
  <c r="S61"/>
  <c r="E106" i="74"/>
  <c r="H106" s="1"/>
  <c r="D107"/>
  <c r="G106"/>
  <c r="P92" i="73"/>
  <c r="Q26" i="94"/>
  <c r="Q64" s="1"/>
  <c r="Q61" i="73"/>
  <c r="L6" i="76"/>
  <c r="L7" s="1"/>
  <c r="L8" s="1"/>
  <c r="M6"/>
  <c r="I5" i="74"/>
  <c r="H5"/>
  <c r="M63" i="73"/>
  <c r="S63" s="1"/>
  <c r="S62"/>
  <c r="N63"/>
  <c r="E162" i="121"/>
  <c r="G27" i="140"/>
  <c r="E20" i="121"/>
  <c r="F20" i="103" s="1"/>
  <c r="E208" i="121"/>
  <c r="L81" i="82"/>
  <c r="L87" s="1"/>
  <c r="L111"/>
  <c r="L9" i="93"/>
  <c r="L10" s="1"/>
  <c r="L13" s="1"/>
  <c r="E207" i="121"/>
  <c r="E19"/>
  <c r="F19" i="103" s="1"/>
  <c r="D52" i="112"/>
  <c r="H51"/>
  <c r="H52" s="1"/>
  <c r="H91" i="74"/>
  <c r="T30" i="73"/>
  <c r="P43"/>
  <c r="S42"/>
  <c r="P75"/>
  <c r="S74"/>
  <c r="T106"/>
  <c r="P13"/>
  <c r="Q13" s="1"/>
  <c r="X13"/>
  <c r="AA13" s="1"/>
  <c r="E76" i="77"/>
  <c r="D76"/>
  <c r="E92"/>
  <c r="D92"/>
  <c r="F112" i="82"/>
  <c r="F106"/>
  <c r="E108" i="77"/>
  <c r="D108"/>
  <c r="L98" i="82"/>
  <c r="L113" s="1"/>
  <c r="L114" s="1"/>
  <c r="Q42" i="73"/>
  <c r="Q74"/>
  <c r="X12"/>
  <c r="AA12" s="1"/>
  <c r="P31"/>
  <c r="S31" s="1"/>
  <c r="S30"/>
  <c r="AF13" i="79"/>
  <c r="AF14" s="1"/>
  <c r="AG11"/>
  <c r="D92" i="74"/>
  <c r="E92" s="1"/>
  <c r="H92" s="1"/>
  <c r="G91"/>
  <c r="E108" i="78"/>
  <c r="D108"/>
  <c r="T11" i="73"/>
  <c r="P72" i="94"/>
  <c r="O104" i="82"/>
  <c r="O5" i="93"/>
  <c r="O6" s="1"/>
  <c r="N92" i="73"/>
  <c r="S91"/>
  <c r="M92"/>
  <c r="E92" i="78"/>
  <c r="D92"/>
  <c r="L106" i="82"/>
  <c r="N80" i="73"/>
  <c r="Q12"/>
  <c r="L9" i="75"/>
  <c r="L10" s="1"/>
  <c r="L11" s="1"/>
  <c r="M9"/>
  <c r="N72" i="94"/>
  <c r="M5" i="93"/>
  <c r="M6" s="1"/>
  <c r="M104" i="82"/>
  <c r="M112" s="1"/>
  <c r="V64" i="94"/>
  <c r="X64" s="1"/>
  <c r="P104" i="82"/>
  <c r="P112" s="1"/>
  <c r="P5" i="93"/>
  <c r="P6" s="1"/>
  <c r="Q72" i="94"/>
  <c r="AG5" i="79"/>
  <c r="AF7"/>
  <c r="AF8" s="1"/>
  <c r="L4" i="77"/>
  <c r="M4"/>
  <c r="S11" i="73"/>
  <c r="W11"/>
  <c r="Z11" s="1"/>
  <c r="M12"/>
  <c r="N12"/>
  <c r="T12" s="1"/>
  <c r="E76" i="78"/>
  <c r="D76"/>
  <c r="D78" i="74"/>
  <c r="G77"/>
  <c r="G61"/>
  <c r="D62"/>
  <c r="E62" s="1"/>
  <c r="H62" s="1"/>
  <c r="P107" i="73"/>
  <c r="Q107" s="1"/>
  <c r="T107" s="1"/>
  <c r="S106"/>
  <c r="O26" i="82"/>
  <c r="O65" s="1"/>
  <c r="E98"/>
  <c r="E113" s="1"/>
  <c r="E111"/>
  <c r="G53" i="50"/>
  <c r="G55" s="1"/>
  <c r="F96" i="82"/>
  <c r="F81"/>
  <c r="F87" s="1"/>
  <c r="H9" i="93"/>
  <c r="H10" s="1"/>
  <c r="H13" s="1"/>
  <c r="M65" i="82"/>
  <c r="L9" i="76" l="1"/>
  <c r="L10" s="1"/>
  <c r="L11" s="1"/>
  <c r="M9"/>
  <c r="H6" i="74"/>
  <c r="I6"/>
  <c r="Q64" i="73"/>
  <c r="Q93"/>
  <c r="P93"/>
  <c r="P94" s="1"/>
  <c r="Q92"/>
  <c r="T63"/>
  <c r="E107" i="74"/>
  <c r="H107" s="1"/>
  <c r="G107"/>
  <c r="D108"/>
  <c r="N64" i="73"/>
  <c r="T64" s="1"/>
  <c r="H24" i="54"/>
  <c r="I51" i="112"/>
  <c r="L12" i="75"/>
  <c r="L13" s="1"/>
  <c r="L14" s="1"/>
  <c r="M12"/>
  <c r="O106" i="82"/>
  <c r="O112"/>
  <c r="G78" i="74"/>
  <c r="D79"/>
  <c r="G79" s="1"/>
  <c r="AH5" i="79"/>
  <c r="AH7" s="1"/>
  <c r="AH8" s="1"/>
  <c r="AG7"/>
  <c r="AG8" s="1"/>
  <c r="D77" i="77"/>
  <c r="E77" s="1"/>
  <c r="P76" i="73"/>
  <c r="Q76" s="1"/>
  <c r="T76" s="1"/>
  <c r="S75"/>
  <c r="D77" i="78"/>
  <c r="E77"/>
  <c r="D93"/>
  <c r="E93"/>
  <c r="T92" i="73"/>
  <c r="T74"/>
  <c r="P44"/>
  <c r="Q44" s="1"/>
  <c r="T44" s="1"/>
  <c r="S43"/>
  <c r="Q75"/>
  <c r="T75" s="1"/>
  <c r="D109" i="78"/>
  <c r="E109"/>
  <c r="D93" i="74"/>
  <c r="G92"/>
  <c r="P108" i="73"/>
  <c r="Q108"/>
  <c r="T108" s="1"/>
  <c r="S107"/>
  <c r="W12"/>
  <c r="Z12" s="1"/>
  <c r="M13"/>
  <c r="S12"/>
  <c r="L5" i="77"/>
  <c r="M5"/>
  <c r="AG13" i="79"/>
  <c r="AG14" s="1"/>
  <c r="AH11"/>
  <c r="AH13" s="1"/>
  <c r="AH14" s="1"/>
  <c r="T42" i="73"/>
  <c r="D109" i="77"/>
  <c r="E109"/>
  <c r="D93"/>
  <c r="E93"/>
  <c r="P14" i="73"/>
  <c r="X14"/>
  <c r="AA14" s="1"/>
  <c r="M106" i="82"/>
  <c r="E78" i="74"/>
  <c r="H78" s="1"/>
  <c r="Q31" i="73"/>
  <c r="P106" i="82"/>
  <c r="Q43" i="73"/>
  <c r="T43" s="1"/>
  <c r="G62" i="74"/>
  <c r="D63"/>
  <c r="G63" s="1"/>
  <c r="E63"/>
  <c r="S92" i="73"/>
  <c r="M93"/>
  <c r="N93"/>
  <c r="T93" s="1"/>
  <c r="M81" i="82"/>
  <c r="M87" s="1"/>
  <c r="M96"/>
  <c r="M9" i="93"/>
  <c r="M10" s="1"/>
  <c r="M13" s="1"/>
  <c r="O81" i="82"/>
  <c r="O87" s="1"/>
  <c r="O96"/>
  <c r="O9" i="93"/>
  <c r="O10" s="1"/>
  <c r="O13" s="1"/>
  <c r="F111" i="82"/>
  <c r="F98"/>
  <c r="F113" s="1"/>
  <c r="E114"/>
  <c r="P26"/>
  <c r="P65" s="1"/>
  <c r="G51" i="50"/>
  <c r="H14" i="130" s="1"/>
  <c r="J52" i="50"/>
  <c r="D109" i="74" l="1"/>
  <c r="G108"/>
  <c r="L12" i="76"/>
  <c r="L13" s="1"/>
  <c r="L14" s="1"/>
  <c r="M12"/>
  <c r="AI8" i="79"/>
  <c r="T15" s="1"/>
  <c r="U15" s="1"/>
  <c r="E108" i="74"/>
  <c r="H108" s="1"/>
  <c r="E79"/>
  <c r="Q94" i="73"/>
  <c r="Q95"/>
  <c r="Q96" s="1"/>
  <c r="P95"/>
  <c r="I7" i="74"/>
  <c r="H7"/>
  <c r="F159" i="121"/>
  <c r="I24" i="140"/>
  <c r="H27" i="54"/>
  <c r="E94" i="77"/>
  <c r="D94"/>
  <c r="H79" i="74"/>
  <c r="E80"/>
  <c r="H80" s="1"/>
  <c r="T31" i="73"/>
  <c r="Q32"/>
  <c r="T32" s="1"/>
  <c r="I38" i="112" s="1"/>
  <c r="I42" s="1"/>
  <c r="S13" i="73"/>
  <c r="M14"/>
  <c r="N14"/>
  <c r="W13"/>
  <c r="Z13" s="1"/>
  <c r="P109"/>
  <c r="Q109"/>
  <c r="T109" s="1"/>
  <c r="S108"/>
  <c r="E94" i="78"/>
  <c r="D94"/>
  <c r="O36" i="79"/>
  <c r="O37" s="1"/>
  <c r="O41" s="1"/>
  <c r="L6" i="77"/>
  <c r="M6"/>
  <c r="P77" i="73"/>
  <c r="Q77" s="1"/>
  <c r="T77" s="1"/>
  <c r="S76"/>
  <c r="M94"/>
  <c r="S93"/>
  <c r="N94"/>
  <c r="H63" i="74"/>
  <c r="E64"/>
  <c r="H64" s="1"/>
  <c r="P15" i="73"/>
  <c r="Q15" s="1"/>
  <c r="E110" i="77"/>
  <c r="D110"/>
  <c r="G93" i="74"/>
  <c r="D94"/>
  <c r="E94" s="1"/>
  <c r="H94" s="1"/>
  <c r="L15" i="75"/>
  <c r="D19" s="1"/>
  <c r="D20" s="1"/>
  <c r="D21" s="1"/>
  <c r="M15"/>
  <c r="M16" s="1"/>
  <c r="E110" i="78"/>
  <c r="D110"/>
  <c r="P45" i="73"/>
  <c r="S44"/>
  <c r="E78" i="78"/>
  <c r="D78"/>
  <c r="E78" i="77"/>
  <c r="D78"/>
  <c r="Q14" i="73"/>
  <c r="AI14" i="79"/>
  <c r="T14" s="1"/>
  <c r="N13" i="73"/>
  <c r="E93" i="74"/>
  <c r="H93" s="1"/>
  <c r="L10" i="20"/>
  <c r="G29" i="54" s="1"/>
  <c r="G56" i="50"/>
  <c r="L56" s="1"/>
  <c r="E155" i="121" s="1"/>
  <c r="F114" i="82"/>
  <c r="P9" i="93"/>
  <c r="P10" s="1"/>
  <c r="P13" s="1"/>
  <c r="P96" i="82"/>
  <c r="P81"/>
  <c r="P87" s="1"/>
  <c r="D57" i="7"/>
  <c r="D96" i="121" s="1"/>
  <c r="L55" i="50"/>
  <c r="E154" i="121" s="1"/>
  <c r="D79"/>
  <c r="M111" i="82"/>
  <c r="M98"/>
  <c r="M113" s="1"/>
  <c r="J55" i="50"/>
  <c r="J51" s="1"/>
  <c r="J56" s="1"/>
  <c r="O111" i="82"/>
  <c r="O98"/>
  <c r="O113" s="1"/>
  <c r="E110" i="74" l="1"/>
  <c r="H110" s="1"/>
  <c r="X15" i="73"/>
  <c r="AA15" s="1"/>
  <c r="G28" i="54"/>
  <c r="H8" i="74"/>
  <c r="I8"/>
  <c r="G29" i="140"/>
  <c r="I43" i="112"/>
  <c r="I44" s="1"/>
  <c r="E164" i="121"/>
  <c r="L15" i="76"/>
  <c r="D19" s="1"/>
  <c r="D20" s="1"/>
  <c r="D21" s="1"/>
  <c r="M15"/>
  <c r="L16" s="1"/>
  <c r="D110" i="74"/>
  <c r="G109"/>
  <c r="E109"/>
  <c r="H109" s="1"/>
  <c r="F162" i="121"/>
  <c r="I27" i="140"/>
  <c r="M52" i="50"/>
  <c r="W14" i="73"/>
  <c r="Z14" s="1"/>
  <c r="N15"/>
  <c r="T15" s="1"/>
  <c r="M15"/>
  <c r="S14"/>
  <c r="D79" i="77"/>
  <c r="E79"/>
  <c r="E80" s="1"/>
  <c r="D111"/>
  <c r="E111"/>
  <c r="E112" s="1"/>
  <c r="P78" i="73"/>
  <c r="Q78" s="1"/>
  <c r="T78" s="1"/>
  <c r="S77"/>
  <c r="D95" i="78"/>
  <c r="E95"/>
  <c r="E96" s="1"/>
  <c r="P110" i="73"/>
  <c r="S109"/>
  <c r="Q16"/>
  <c r="O20" i="79"/>
  <c r="O23" s="1"/>
  <c r="O40" s="1"/>
  <c r="O42" s="1"/>
  <c r="T16"/>
  <c r="U14"/>
  <c r="U16" s="1"/>
  <c r="D79" i="78"/>
  <c r="E79"/>
  <c r="E80" s="1"/>
  <c r="P46" i="73"/>
  <c r="Q46" s="1"/>
  <c r="T46" s="1"/>
  <c r="S45"/>
  <c r="E22" i="75"/>
  <c r="D22"/>
  <c r="D23" s="1"/>
  <c r="D24" s="1"/>
  <c r="X16" i="73"/>
  <c r="AA16" s="1"/>
  <c r="L7" i="77"/>
  <c r="M7"/>
  <c r="T14" i="73"/>
  <c r="D111" i="78"/>
  <c r="E111"/>
  <c r="E112" s="1"/>
  <c r="T94" i="73"/>
  <c r="T13"/>
  <c r="N16"/>
  <c r="G94" i="74"/>
  <c r="D95"/>
  <c r="G95" s="1"/>
  <c r="S94" i="73"/>
  <c r="M95"/>
  <c r="S95" s="1"/>
  <c r="N95"/>
  <c r="T95" s="1"/>
  <c r="D95" i="77"/>
  <c r="E95"/>
  <c r="E96" s="1"/>
  <c r="O114" i="82"/>
  <c r="M114"/>
  <c r="Q45" i="73"/>
  <c r="T45" s="1"/>
  <c r="L51" i="50"/>
  <c r="K14" i="130" s="1"/>
  <c r="P111" i="82"/>
  <c r="P98"/>
  <c r="P113" s="1"/>
  <c r="E22" i="76" l="1"/>
  <c r="D22"/>
  <c r="D23" s="1"/>
  <c r="D24" s="1"/>
  <c r="I9" i="74"/>
  <c r="H9"/>
  <c r="E95"/>
  <c r="H95" s="1"/>
  <c r="D111"/>
  <c r="G110"/>
  <c r="G28" i="140"/>
  <c r="E163" i="121"/>
  <c r="G31" i="54"/>
  <c r="F152" i="121"/>
  <c r="E48" i="6"/>
  <c r="E79" i="121" s="1"/>
  <c r="E151"/>
  <c r="E57" i="7"/>
  <c r="E96" i="121" s="1"/>
  <c r="M55" i="50"/>
  <c r="P114" i="82"/>
  <c r="P111" i="73"/>
  <c r="S111" s="1"/>
  <c r="S110"/>
  <c r="M8" i="77"/>
  <c r="L8"/>
  <c r="E25" i="75"/>
  <c r="D25"/>
  <c r="D26" s="1"/>
  <c r="D27" s="1"/>
  <c r="S15" i="73"/>
  <c r="W15"/>
  <c r="T16"/>
  <c r="M20" i="112" s="1"/>
  <c r="P47" i="73"/>
  <c r="S47" s="1"/>
  <c r="S46"/>
  <c r="P79"/>
  <c r="S79" s="1"/>
  <c r="S78"/>
  <c r="N96"/>
  <c r="T96" s="1"/>
  <c r="Q110"/>
  <c r="T110" s="1"/>
  <c r="E166" i="121" l="1"/>
  <c r="G34" i="54"/>
  <c r="G31" i="140"/>
  <c r="G111" i="74"/>
  <c r="E111"/>
  <c r="Q111" i="73"/>
  <c r="T111" s="1"/>
  <c r="E96" i="74"/>
  <c r="H96" s="1"/>
  <c r="I10"/>
  <c r="H10"/>
  <c r="E25" i="76"/>
  <c r="D25"/>
  <c r="D26" s="1"/>
  <c r="D27" s="1"/>
  <c r="F154" i="121"/>
  <c r="F199"/>
  <c r="F8"/>
  <c r="G8" i="103" s="1"/>
  <c r="F200" i="121"/>
  <c r="F9"/>
  <c r="G9" i="103" s="1"/>
  <c r="M51" i="50"/>
  <c r="M14" i="130" s="1"/>
  <c r="Q79" i="73"/>
  <c r="Z15"/>
  <c r="W16"/>
  <c r="Z16" s="1"/>
  <c r="E28" i="75"/>
  <c r="D28"/>
  <c r="D29" s="1"/>
  <c r="D30" s="1"/>
  <c r="L9" i="77"/>
  <c r="M9"/>
  <c r="Q47" i="73"/>
  <c r="H11" i="74" l="1"/>
  <c r="I11"/>
  <c r="Q112" i="73"/>
  <c r="T112" s="1"/>
  <c r="K15" i="130"/>
  <c r="X15" s="1"/>
  <c r="E169" i="121"/>
  <c r="G34" i="140"/>
  <c r="E112" i="74"/>
  <c r="H112" s="1"/>
  <c r="H111"/>
  <c r="E28" i="76"/>
  <c r="D28"/>
  <c r="D29" s="1"/>
  <c r="D30" s="1"/>
  <c r="G9" i="121"/>
  <c r="H9" i="103" s="1"/>
  <c r="G200" i="121"/>
  <c r="F151"/>
  <c r="M56" i="50"/>
  <c r="F155" i="121" s="1"/>
  <c r="T47" i="73"/>
  <c r="Q48"/>
  <c r="T48" s="1"/>
  <c r="M10" i="77"/>
  <c r="L10"/>
  <c r="D31" i="75"/>
  <c r="H19" s="1"/>
  <c r="H20" s="1"/>
  <c r="H21" s="1"/>
  <c r="E31"/>
  <c r="T79" i="73"/>
  <c r="Q80"/>
  <c r="T80" s="1"/>
  <c r="E32" i="75"/>
  <c r="H12" i="74" l="1"/>
  <c r="I12"/>
  <c r="D31" i="76"/>
  <c r="H19" s="1"/>
  <c r="H20" s="1"/>
  <c r="H21" s="1"/>
  <c r="E31"/>
  <c r="D32" s="1"/>
  <c r="G8" i="121"/>
  <c r="H8" i="103" s="1"/>
  <c r="G199" i="121"/>
  <c r="I22" i="75"/>
  <c r="H22"/>
  <c r="H23" s="1"/>
  <c r="H24" s="1"/>
  <c r="M11" i="77"/>
  <c r="L11"/>
  <c r="H22" i="76" l="1"/>
  <c r="H23" s="1"/>
  <c r="H24" s="1"/>
  <c r="I22"/>
  <c r="I13" i="74"/>
  <c r="H13"/>
  <c r="H25" i="75"/>
  <c r="H26" s="1"/>
  <c r="H27" s="1"/>
  <c r="I25"/>
  <c r="L12" i="77"/>
  <c r="M12"/>
  <c r="I14" i="74" l="1"/>
  <c r="H14"/>
  <c r="H25" i="76"/>
  <c r="H26" s="1"/>
  <c r="H27" s="1"/>
  <c r="I25"/>
  <c r="M13" i="77"/>
  <c r="L13"/>
  <c r="H28" i="75"/>
  <c r="H29" s="1"/>
  <c r="H30" s="1"/>
  <c r="I28"/>
  <c r="H28" i="76" l="1"/>
  <c r="H29" s="1"/>
  <c r="H30" s="1"/>
  <c r="I28"/>
  <c r="H15" i="74"/>
  <c r="L3" s="1"/>
  <c r="I15"/>
  <c r="I16" s="1"/>
  <c r="M14" i="77"/>
  <c r="L14"/>
  <c r="H31" i="75"/>
  <c r="L19" s="1"/>
  <c r="L20" s="1"/>
  <c r="L21" s="1"/>
  <c r="I31"/>
  <c r="I32" s="1"/>
  <c r="M4" i="74" l="1"/>
  <c r="L4"/>
  <c r="I31" i="76"/>
  <c r="H32" s="1"/>
  <c r="H31"/>
  <c r="L19" s="1"/>
  <c r="L20" s="1"/>
  <c r="L21" s="1"/>
  <c r="M15" i="77"/>
  <c r="M16" s="1"/>
  <c r="I49" i="112" s="1"/>
  <c r="I52" s="1"/>
  <c r="L15" i="77"/>
  <c r="D19" s="1"/>
  <c r="L22" i="75"/>
  <c r="L23" s="1"/>
  <c r="L24" s="1"/>
  <c r="M22"/>
  <c r="H28" i="54" l="1"/>
  <c r="I54" i="112"/>
  <c r="M22" i="76"/>
  <c r="L22"/>
  <c r="L23" s="1"/>
  <c r="L24" s="1"/>
  <c r="M5" i="74"/>
  <c r="L5"/>
  <c r="D20" i="77"/>
  <c r="E20"/>
  <c r="L25" i="75"/>
  <c r="L26" s="1"/>
  <c r="L27" s="1"/>
  <c r="M25"/>
  <c r="M25" i="76" l="1"/>
  <c r="L25"/>
  <c r="L26" s="1"/>
  <c r="L27" s="1"/>
  <c r="M6" i="74"/>
  <c r="L6"/>
  <c r="F163" i="121"/>
  <c r="H31" i="54"/>
  <c r="I28" i="140"/>
  <c r="E21" i="77"/>
  <c r="D21"/>
  <c r="L28" i="75"/>
  <c r="L29" s="1"/>
  <c r="L30" s="1"/>
  <c r="M28"/>
  <c r="L28" i="76" l="1"/>
  <c r="L29" s="1"/>
  <c r="L30" s="1"/>
  <c r="M28"/>
  <c r="L7" i="74"/>
  <c r="M7"/>
  <c r="F166" i="121"/>
  <c r="H34" i="54"/>
  <c r="I31" i="140"/>
  <c r="L31" i="75"/>
  <c r="D35" s="1"/>
  <c r="D36" s="1"/>
  <c r="D37" s="1"/>
  <c r="M31"/>
  <c r="M32" s="1"/>
  <c r="E22" i="77"/>
  <c r="D22"/>
  <c r="L8" i="74" l="1"/>
  <c r="M8"/>
  <c r="M31" i="76"/>
  <c r="L32" s="1"/>
  <c r="L31"/>
  <c r="D35" s="1"/>
  <c r="D36" s="1"/>
  <c r="D37" s="1"/>
  <c r="F169" i="121"/>
  <c r="M15" i="130"/>
  <c r="Z15" s="1"/>
  <c r="I34" i="140"/>
  <c r="D38" i="75"/>
  <c r="D39" s="1"/>
  <c r="D40" s="1"/>
  <c r="E38"/>
  <c r="E23" i="77"/>
  <c r="D23"/>
  <c r="D38" i="76" l="1"/>
  <c r="D39" s="1"/>
  <c r="D40" s="1"/>
  <c r="E38"/>
  <c r="M9" i="74"/>
  <c r="L9"/>
  <c r="D41" i="75"/>
  <c r="D42" s="1"/>
  <c r="D43" s="1"/>
  <c r="E41"/>
  <c r="D24" i="77"/>
  <c r="E24"/>
  <c r="L10" i="74" l="1"/>
  <c r="M10"/>
  <c r="E41" i="76"/>
  <c r="D41"/>
  <c r="D42" s="1"/>
  <c r="D43" s="1"/>
  <c r="D44" i="75"/>
  <c r="D45" s="1"/>
  <c r="D46" s="1"/>
  <c r="E44"/>
  <c r="D25" i="77"/>
  <c r="E25"/>
  <c r="E44" i="76" l="1"/>
  <c r="D44"/>
  <c r="D45" s="1"/>
  <c r="D46" s="1"/>
  <c r="M11" i="74"/>
  <c r="L11"/>
  <c r="E26" i="77"/>
  <c r="D26"/>
  <c r="D47" i="75"/>
  <c r="H35" s="1"/>
  <c r="H36" s="1"/>
  <c r="H37" s="1"/>
  <c r="E47"/>
  <c r="E48" s="1"/>
  <c r="E47" i="76" l="1"/>
  <c r="D48" s="1"/>
  <c r="D47"/>
  <c r="H35" s="1"/>
  <c r="H36" s="1"/>
  <c r="H37" s="1"/>
  <c r="M12" i="74"/>
  <c r="L12"/>
  <c r="I38" i="75"/>
  <c r="H38"/>
  <c r="H39" s="1"/>
  <c r="H40" s="1"/>
  <c r="E27" i="77"/>
  <c r="D27"/>
  <c r="L13" i="74" l="1"/>
  <c r="M13"/>
  <c r="H38" i="76"/>
  <c r="H39" s="1"/>
  <c r="H40" s="1"/>
  <c r="I38"/>
  <c r="I41" i="75"/>
  <c r="H41"/>
  <c r="H42" s="1"/>
  <c r="H43" s="1"/>
  <c r="E28" i="77"/>
  <c r="D28"/>
  <c r="H41" i="76" l="1"/>
  <c r="H42" s="1"/>
  <c r="H43" s="1"/>
  <c r="I41"/>
  <c r="L14" i="74"/>
  <c r="M14"/>
  <c r="I44" i="75"/>
  <c r="H44"/>
  <c r="H45" s="1"/>
  <c r="H46" s="1"/>
  <c r="E29" i="77"/>
  <c r="D29"/>
  <c r="I44" i="76" l="1"/>
  <c r="H44"/>
  <c r="H45" s="1"/>
  <c r="H46" s="1"/>
  <c r="L15" i="74"/>
  <c r="D19" s="1"/>
  <c r="M15"/>
  <c r="M16" s="1"/>
  <c r="E30" i="77"/>
  <c r="D30"/>
  <c r="I47" i="75"/>
  <c r="I48" s="1"/>
  <c r="H47"/>
  <c r="H47" i="76" l="1"/>
  <c r="L35" s="1"/>
  <c r="L36" s="1"/>
  <c r="L37" s="1"/>
  <c r="I47"/>
  <c r="I48" s="1"/>
  <c r="D20" i="74"/>
  <c r="E20"/>
  <c r="E31" i="77"/>
  <c r="E32" s="1"/>
  <c r="D31"/>
  <c r="H19" s="1"/>
  <c r="E21" i="74" l="1"/>
  <c r="D21"/>
  <c r="L38" i="76"/>
  <c r="L39" s="1"/>
  <c r="L40" s="1"/>
  <c r="M38"/>
  <c r="H20" i="77"/>
  <c r="I20"/>
  <c r="E22" i="74" l="1"/>
  <c r="D22"/>
  <c r="M41" i="76"/>
  <c r="L41"/>
  <c r="L42" s="1"/>
  <c r="L43" s="1"/>
  <c r="I21" i="77"/>
  <c r="H21"/>
  <c r="M44" i="76" l="1"/>
  <c r="L44"/>
  <c r="L45" s="1"/>
  <c r="L46" s="1"/>
  <c r="E23" i="74"/>
  <c r="D23"/>
  <c r="H22" i="77"/>
  <c r="I22"/>
  <c r="M47" i="76" l="1"/>
  <c r="M48" s="1"/>
  <c r="L47"/>
  <c r="D51" s="1"/>
  <c r="D52" s="1"/>
  <c r="D53" s="1"/>
  <c r="D24" i="74"/>
  <c r="E24"/>
  <c r="I23" i="77"/>
  <c r="H23"/>
  <c r="D54" i="76" l="1"/>
  <c r="D55" s="1"/>
  <c r="D56" s="1"/>
  <c r="E54"/>
  <c r="E25" i="74"/>
  <c r="D25"/>
  <c r="H24" i="77"/>
  <c r="I24"/>
  <c r="D26" i="74" l="1"/>
  <c r="E26"/>
  <c r="E57" i="76"/>
  <c r="D57"/>
  <c r="D58" s="1"/>
  <c r="D59" s="1"/>
  <c r="H25" i="77"/>
  <c r="I25"/>
  <c r="D60" i="76" l="1"/>
  <c r="D61" s="1"/>
  <c r="D62" s="1"/>
  <c r="E60"/>
  <c r="E27" i="74"/>
  <c r="D27"/>
  <c r="H26" i="77"/>
  <c r="I26"/>
  <c r="D28" i="74" l="1"/>
  <c r="E28"/>
  <c r="E63" i="76"/>
  <c r="E64" s="1"/>
  <c r="D63"/>
  <c r="H51" s="1"/>
  <c r="H52" s="1"/>
  <c r="H53" s="1"/>
  <c r="H27" i="77"/>
  <c r="I27"/>
  <c r="I54" i="76" l="1"/>
  <c r="H54"/>
  <c r="H55" s="1"/>
  <c r="H56" s="1"/>
  <c r="D29" i="74"/>
  <c r="E29"/>
  <c r="H28" i="77"/>
  <c r="I28"/>
  <c r="H57" i="76" l="1"/>
  <c r="H58" s="1"/>
  <c r="H59" s="1"/>
  <c r="I57"/>
  <c r="E30" i="74"/>
  <c r="D30"/>
  <c r="H29" i="77"/>
  <c r="I29"/>
  <c r="E31" i="74" l="1"/>
  <c r="E32" s="1"/>
  <c r="D31"/>
  <c r="H19" s="1"/>
  <c r="H60" i="76"/>
  <c r="H61" s="1"/>
  <c r="H62" s="1"/>
  <c r="I60"/>
  <c r="I30" i="77"/>
  <c r="H30"/>
  <c r="I20" i="74" l="1"/>
  <c r="H20"/>
  <c r="H63" i="76"/>
  <c r="L51" s="1"/>
  <c r="L52" s="1"/>
  <c r="L53" s="1"/>
  <c r="I63"/>
  <c r="I64" s="1"/>
  <c r="H31" i="77"/>
  <c r="L19" s="1"/>
  <c r="I31"/>
  <c r="I32" s="1"/>
  <c r="I21" i="74" l="1"/>
  <c r="H21"/>
  <c r="L54" i="76"/>
  <c r="L55" s="1"/>
  <c r="L56" s="1"/>
  <c r="M54"/>
  <c r="M20" i="77"/>
  <c r="L20"/>
  <c r="H22" i="74" l="1"/>
  <c r="I22"/>
  <c r="M57" i="76"/>
  <c r="L57"/>
  <c r="L58" s="1"/>
  <c r="L59" s="1"/>
  <c r="M21" i="77"/>
  <c r="L21"/>
  <c r="L60" i="76" l="1"/>
  <c r="L61" s="1"/>
  <c r="L62" s="1"/>
  <c r="M60"/>
  <c r="H23" i="74"/>
  <c r="I23"/>
  <c r="M22" i="77"/>
  <c r="L22"/>
  <c r="M64" i="76" l="1"/>
  <c r="M63"/>
  <c r="L63"/>
  <c r="H24" i="74"/>
  <c r="I24"/>
  <c r="M23" i="77"/>
  <c r="L23"/>
  <c r="H25" i="74" l="1"/>
  <c r="I25"/>
  <c r="M24" i="77"/>
  <c r="L24"/>
  <c r="I26" i="74" l="1"/>
  <c r="H26"/>
  <c r="M25" i="77"/>
  <c r="L25"/>
  <c r="I27" i="74" l="1"/>
  <c r="H27"/>
  <c r="M26" i="77"/>
  <c r="L26"/>
  <c r="I28" i="74" l="1"/>
  <c r="H28"/>
  <c r="M27" i="77"/>
  <c r="L27"/>
  <c r="I29" i="74" l="1"/>
  <c r="H29"/>
  <c r="M28" i="77"/>
  <c r="L28"/>
  <c r="I30" i="74" l="1"/>
  <c r="H30"/>
  <c r="L29" i="77"/>
  <c r="M29"/>
  <c r="I31" i="74" l="1"/>
  <c r="I32" s="1"/>
  <c r="H31"/>
  <c r="L30" i="77"/>
  <c r="M30"/>
  <c r="L31" l="1"/>
  <c r="M31"/>
  <c r="M32" s="1"/>
  <c r="L15" i="1"/>
  <c r="R67" i="121" s="1"/>
  <c r="L16" i="1"/>
  <c r="R68" i="121" s="1"/>
  <c r="J19" i="1"/>
  <c r="P69" i="121" s="1"/>
  <c r="L21" i="1" l="1"/>
  <c r="R71" i="121" s="1"/>
  <c r="L22" i="1"/>
  <c r="R72" i="121" s="1"/>
  <c r="L24" i="1"/>
  <c r="J27"/>
  <c r="P74" i="121" s="1"/>
  <c r="G68" i="1"/>
  <c r="H68"/>
  <c r="F72" i="121" l="1"/>
  <c r="I37" i="130"/>
  <c r="I46" s="1"/>
  <c r="I48" s="1"/>
  <c r="I50" s="1"/>
  <c r="E72" i="121"/>
  <c r="H37" i="130"/>
  <c r="H46" s="1"/>
  <c r="H48" s="1"/>
  <c r="H50" s="1"/>
  <c r="L27" i="1"/>
  <c r="R74" i="121" s="1"/>
  <c r="J68" i="1"/>
  <c r="G69" l="1"/>
  <c r="E73" i="121" s="1"/>
  <c r="L29" i="1"/>
  <c r="R76" i="121" s="1"/>
  <c r="L32" i="1"/>
  <c r="L34"/>
  <c r="R78" i="121" s="1"/>
  <c r="J35" i="1"/>
  <c r="G65" l="1"/>
  <c r="E69" i="121" s="1"/>
  <c r="P79"/>
  <c r="R77"/>
  <c r="M78" i="1"/>
  <c r="G67"/>
  <c r="E71" i="121" s="1"/>
  <c r="L35" i="1"/>
  <c r="R79" i="121" s="1"/>
  <c r="J36" i="1"/>
  <c r="H65"/>
  <c r="F69" i="121" s="1"/>
  <c r="J38" i="1" l="1"/>
  <c r="P80" i="121"/>
  <c r="G71" i="1"/>
  <c r="J40" l="1"/>
  <c r="P82" i="121"/>
  <c r="G41" i="79"/>
  <c r="E75" i="121"/>
  <c r="I65" i="1"/>
  <c r="G69" i="121" s="1"/>
  <c r="J42" i="1" l="1"/>
  <c r="P83" i="121"/>
  <c r="H41" i="6"/>
  <c r="F91" i="121" s="1"/>
  <c r="K13" i="20"/>
  <c r="P85" i="121" l="1"/>
  <c r="E132"/>
  <c r="J41" i="6"/>
  <c r="H91" i="121" s="1"/>
  <c r="M13" i="20"/>
  <c r="K10" i="7"/>
  <c r="K12"/>
  <c r="K15"/>
  <c r="K16"/>
  <c r="K17"/>
  <c r="K18"/>
  <c r="K19"/>
  <c r="K21"/>
  <c r="K22"/>
  <c r="J29"/>
  <c r="J32" s="1"/>
  <c r="G111" i="121" l="1"/>
  <c r="S113"/>
  <c r="G115"/>
  <c r="S117"/>
  <c r="G110"/>
  <c r="S112"/>
  <c r="G114"/>
  <c r="S116"/>
  <c r="L16" i="7"/>
  <c r="S111" i="121"/>
  <c r="S107"/>
  <c r="G107"/>
  <c r="S105"/>
  <c r="G105"/>
  <c r="G112"/>
  <c r="S114"/>
  <c r="S110"/>
  <c r="G109"/>
  <c r="G49" i="7"/>
  <c r="R123" i="121"/>
  <c r="L17" i="7"/>
  <c r="L22"/>
  <c r="L21"/>
  <c r="L18"/>
  <c r="L15"/>
  <c r="L12"/>
  <c r="L13"/>
  <c r="L19"/>
  <c r="M17"/>
  <c r="L10"/>
  <c r="J35"/>
  <c r="G52"/>
  <c r="G43" i="79" s="1"/>
  <c r="G44" s="1"/>
  <c r="T107" i="121" l="1"/>
  <c r="H107"/>
  <c r="T117"/>
  <c r="H115"/>
  <c r="I110"/>
  <c r="U112"/>
  <c r="T112"/>
  <c r="H110"/>
  <c r="M16" i="7"/>
  <c r="U111" i="121" s="1"/>
  <c r="T111"/>
  <c r="T113"/>
  <c r="H111"/>
  <c r="T105"/>
  <c r="H105"/>
  <c r="T110"/>
  <c r="H109"/>
  <c r="T114"/>
  <c r="H112"/>
  <c r="H108"/>
  <c r="T108"/>
  <c r="M13" i="7"/>
  <c r="T116" i="121"/>
  <c r="H114"/>
  <c r="F123"/>
  <c r="R125"/>
  <c r="J38" i="7"/>
  <c r="M19"/>
  <c r="M12"/>
  <c r="M15"/>
  <c r="M18"/>
  <c r="M21"/>
  <c r="M22"/>
  <c r="M10"/>
  <c r="U110" i="121" l="1"/>
  <c r="I109"/>
  <c r="I108"/>
  <c r="U108"/>
  <c r="U107"/>
  <c r="I107"/>
  <c r="U113"/>
  <c r="I111"/>
  <c r="U105"/>
  <c r="I105"/>
  <c r="U117"/>
  <c r="I115"/>
  <c r="I114"/>
  <c r="U116"/>
  <c r="I112"/>
  <c r="U114"/>
  <c r="F125"/>
  <c r="R128"/>
  <c r="E134"/>
  <c r="E135" s="1"/>
  <c r="M14" i="20"/>
  <c r="L11" i="1" l="1"/>
  <c r="R65" i="121" s="1"/>
  <c r="L10" i="1" l="1"/>
  <c r="R64" i="121" s="1"/>
  <c r="L12" i="1" l="1"/>
  <c r="R66" i="121" l="1"/>
  <c r="L19" i="1"/>
  <c r="R69" i="121" s="1"/>
  <c r="I68" i="1" l="1"/>
  <c r="L36"/>
  <c r="R80" i="121" s="1"/>
  <c r="G72" l="1"/>
  <c r="J37" i="130"/>
  <c r="J46" s="1"/>
  <c r="J48" s="1"/>
  <c r="J50" s="1"/>
  <c r="J20" i="121"/>
  <c r="I5" l="1"/>
  <c r="K20" i="103"/>
  <c r="F41" i="121" l="1"/>
  <c r="G42" i="103" s="1"/>
  <c r="J15" i="121"/>
  <c r="J5" i="103"/>
  <c r="E26" i="121" l="1"/>
  <c r="F27" i="103" s="1"/>
  <c r="K15"/>
  <c r="F36" i="121" l="1"/>
  <c r="G37" i="103" s="1"/>
  <c r="I15" i="121"/>
  <c r="I6" l="1"/>
  <c r="J15" i="103"/>
  <c r="E36" i="121" l="1"/>
  <c r="F37" i="103" s="1"/>
  <c r="I20" i="121"/>
  <c r="J6" i="103"/>
  <c r="E27" i="121" l="1"/>
  <c r="F28" i="103" s="1"/>
  <c r="H6" i="121"/>
  <c r="J20" i="103"/>
  <c r="E41" i="121" l="1"/>
  <c r="F42" i="103" s="1"/>
  <c r="H7" i="121"/>
  <c r="I6" i="103"/>
  <c r="J18"/>
  <c r="D27" i="121" l="1"/>
  <c r="E28" i="103" s="1"/>
  <c r="H15" i="121"/>
  <c r="I7" i="103"/>
  <c r="D28" i="121" l="1"/>
  <c r="E29" i="103" s="1"/>
  <c r="K15" i="121"/>
  <c r="I15" i="103"/>
  <c r="D36" i="121" l="1"/>
  <c r="E37" i="103" s="1"/>
  <c r="I18"/>
  <c r="L15"/>
  <c r="G36" i="121" l="1"/>
  <c r="H37" i="103" s="1"/>
  <c r="G6" i="121" l="1"/>
  <c r="H6" i="103" s="1"/>
  <c r="G197" i="121"/>
  <c r="L17" i="6"/>
  <c r="M17" s="1"/>
  <c r="M18" s="1"/>
  <c r="M20" s="1"/>
  <c r="K18"/>
  <c r="K20" s="1"/>
  <c r="J38" l="1"/>
  <c r="M24"/>
  <c r="E49" s="1"/>
  <c r="L18"/>
  <c r="L20" s="1"/>
  <c r="L24" s="1"/>
  <c r="D49" s="1"/>
  <c r="D80" i="121" s="1"/>
  <c r="H5"/>
  <c r="I5" i="103" s="1"/>
  <c r="K5" i="121" s="1"/>
  <c r="L5" i="103" s="1"/>
  <c r="I38" i="6"/>
  <c r="G88" i="121" s="1"/>
  <c r="H38" i="6"/>
  <c r="F88" i="121" s="1"/>
  <c r="K24" i="6"/>
  <c r="D51"/>
  <c r="E80" i="121" l="1"/>
  <c r="E51" i="6"/>
  <c r="H88" i="121"/>
  <c r="D26"/>
  <c r="E27" i="103" s="1"/>
  <c r="H14" i="121"/>
  <c r="I14" i="103" s="1"/>
  <c r="D35" i="121"/>
  <c r="E36" i="103" s="1"/>
  <c r="D82" i="121"/>
  <c r="D52" i="6"/>
  <c r="D83" i="121" s="1"/>
  <c r="K18" i="103"/>
  <c r="E82" i="121" l="1"/>
  <c r="E52" i="6"/>
  <c r="K26"/>
  <c r="H17" i="121"/>
  <c r="I17" i="103" s="1"/>
  <c r="D38" i="121"/>
  <c r="E39" i="103" s="1"/>
  <c r="E83" i="121" l="1"/>
  <c r="M26" i="6"/>
  <c r="M27" s="1"/>
  <c r="J40"/>
  <c r="L26"/>
  <c r="L27" s="1"/>
  <c r="H40"/>
  <c r="H19" i="121"/>
  <c r="I19" i="103" s="1"/>
  <c r="D40" i="121"/>
  <c r="E41" i="103" s="1"/>
  <c r="M12" i="130" l="1"/>
  <c r="N12" s="1"/>
  <c r="Z12" s="1"/>
  <c r="H133" i="121"/>
  <c r="H90"/>
  <c r="J42" i="6"/>
  <c r="K12" i="130"/>
  <c r="G133" i="121"/>
  <c r="K27" i="6"/>
  <c r="F133" i="121" s="1"/>
  <c r="F90"/>
  <c r="I40" i="6"/>
  <c r="H42"/>
  <c r="H92" i="121" l="1"/>
  <c r="J42" i="79"/>
  <c r="L12" i="130"/>
  <c r="F6" i="121"/>
  <c r="G6" i="103" s="1"/>
  <c r="F197" i="121"/>
  <c r="G90"/>
  <c r="I42" i="6"/>
  <c r="G92" i="121" s="1"/>
  <c r="F92"/>
  <c r="H42" i="79"/>
  <c r="I42" s="1"/>
  <c r="X12" i="130" l="1"/>
  <c r="G37" i="121"/>
  <c r="H38" i="103" s="1"/>
  <c r="K16" i="121"/>
  <c r="L16" i="103" s="1"/>
  <c r="K11" i="121" l="1"/>
  <c r="L11" i="103" s="1"/>
  <c r="G32" i="121"/>
  <c r="H33" i="103" s="1"/>
  <c r="W18" i="130" l="1"/>
  <c r="J11" i="121"/>
  <c r="K11" i="103" s="1"/>
  <c r="F32" i="121"/>
  <c r="G33" i="103" s="1"/>
  <c r="W14" i="130" l="1"/>
  <c r="J8" i="121"/>
  <c r="K8" i="103" s="1"/>
  <c r="Y14" i="130" l="1"/>
  <c r="F29" i="121"/>
  <c r="G30" i="103" s="1"/>
  <c r="K8" i="121"/>
  <c r="L8" i="103" s="1"/>
  <c r="G29" i="121" l="1"/>
  <c r="H30" i="103" s="1"/>
  <c r="W15" i="130" l="1"/>
  <c r="J9" i="121"/>
  <c r="K9" i="103" s="1"/>
  <c r="Y15" i="130" l="1"/>
  <c r="F30" i="121"/>
  <c r="G31" i="103" s="1"/>
  <c r="K9" i="121"/>
  <c r="L9" i="103" s="1"/>
  <c r="G30" i="121" l="1"/>
  <c r="H31" i="103" s="1"/>
  <c r="K12" i="121"/>
  <c r="L12" i="103" s="1"/>
  <c r="G33" i="121" l="1"/>
  <c r="H34" i="103" s="1"/>
  <c r="M29" i="1"/>
  <c r="M35" l="1"/>
  <c r="S76" i="121"/>
  <c r="K37" i="1"/>
  <c r="M36" l="1"/>
  <c r="S79" i="121"/>
  <c r="J65" i="1"/>
  <c r="Q81" i="121"/>
  <c r="L37" i="1"/>
  <c r="K38"/>
  <c r="H69"/>
  <c r="K12" i="20"/>
  <c r="K15" s="1"/>
  <c r="K16" s="1"/>
  <c r="S80" i="121" l="1"/>
  <c r="Q82"/>
  <c r="K40" i="1"/>
  <c r="L12" i="20"/>
  <c r="L15" s="1"/>
  <c r="L16" s="1"/>
  <c r="L38" i="1"/>
  <c r="I69"/>
  <c r="R81" i="121"/>
  <c r="H67" i="1"/>
  <c r="F73" i="121"/>
  <c r="H69"/>
  <c r="H71" i="1" l="1"/>
  <c r="F71" i="121"/>
  <c r="L40" i="1"/>
  <c r="R82" i="121"/>
  <c r="I67" i="1"/>
  <c r="G73" i="121"/>
  <c r="K42" i="1"/>
  <c r="Q83" i="121"/>
  <c r="H41" i="79" l="1"/>
  <c r="F75" i="121"/>
  <c r="G71"/>
  <c r="I71" i="1"/>
  <c r="Q85" i="121"/>
  <c r="F132"/>
  <c r="R83"/>
  <c r="L42" i="1"/>
  <c r="K11" i="130" s="1"/>
  <c r="W11" s="1"/>
  <c r="G132" i="121" l="1"/>
  <c r="R85"/>
  <c r="I41" i="79"/>
  <c r="G75" i="121"/>
  <c r="F196" l="1"/>
  <c r="F5"/>
  <c r="G5" i="103" s="1"/>
  <c r="M27" i="7" l="1"/>
  <c r="U122" i="121" l="1"/>
  <c r="I120"/>
  <c r="M29" i="7"/>
  <c r="M32" s="1"/>
  <c r="K27"/>
  <c r="K29" l="1"/>
  <c r="K32" s="1"/>
  <c r="G120" i="121"/>
  <c r="L27" i="7"/>
  <c r="S122" i="121"/>
  <c r="M35" i="7"/>
  <c r="U123" i="121"/>
  <c r="J49" i="7"/>
  <c r="S123" i="121" l="1"/>
  <c r="H49" i="7"/>
  <c r="K35"/>
  <c r="I123" i="121"/>
  <c r="U125"/>
  <c r="E58" i="7"/>
  <c r="T122" i="121"/>
  <c r="H120"/>
  <c r="L29" i="7"/>
  <c r="L32" s="1"/>
  <c r="T123" i="121" l="1"/>
  <c r="L35" i="7"/>
  <c r="E60"/>
  <c r="E97" i="121"/>
  <c r="I49" i="7"/>
  <c r="G123" i="121"/>
  <c r="S125"/>
  <c r="H123" l="1"/>
  <c r="D58" i="7"/>
  <c r="T125" i="121"/>
  <c r="E99"/>
  <c r="E61" i="7"/>
  <c r="M37" l="1"/>
  <c r="E100" i="121"/>
  <c r="D97"/>
  <c r="D60" i="7"/>
  <c r="U127" i="121" l="1"/>
  <c r="J50" i="7"/>
  <c r="J52" s="1"/>
  <c r="J43" i="79" s="1"/>
  <c r="I124" i="121"/>
  <c r="M38" i="7"/>
  <c r="D99" i="121"/>
  <c r="D61" i="7"/>
  <c r="M13" i="130" l="1"/>
  <c r="D100" i="121"/>
  <c r="K37" i="7"/>
  <c r="U128" i="121"/>
  <c r="H134"/>
  <c r="I125"/>
  <c r="N13" i="130" l="1"/>
  <c r="G198" i="121"/>
  <c r="G7"/>
  <c r="H7" i="103" s="1"/>
  <c r="L37" i="7"/>
  <c r="S127" i="121"/>
  <c r="G124"/>
  <c r="H50" i="7"/>
  <c r="K38"/>
  <c r="Z13" i="130" l="1"/>
  <c r="P13" i="35"/>
  <c r="P14"/>
  <c r="I50" i="7"/>
  <c r="I52" s="1"/>
  <c r="H52"/>
  <c r="H43" i="79" s="1"/>
  <c r="F134" i="121"/>
  <c r="F135" s="1"/>
  <c r="G125"/>
  <c r="S128"/>
  <c r="T127"/>
  <c r="H124"/>
  <c r="L38" i="7"/>
  <c r="K13" i="130" l="1"/>
  <c r="I43" i="79"/>
  <c r="I44" s="1"/>
  <c r="H44"/>
  <c r="T128" i="121"/>
  <c r="H125"/>
  <c r="G134"/>
  <c r="G135" s="1"/>
  <c r="M37" i="1"/>
  <c r="L13" i="130" l="1"/>
  <c r="L14" i="143"/>
  <c r="L13"/>
  <c r="L14" i="35"/>
  <c r="L13"/>
  <c r="F7" i="121"/>
  <c r="G7" i="103" s="1"/>
  <c r="F198" i="121"/>
  <c r="E183"/>
  <c r="J69" i="1"/>
  <c r="S81" i="121"/>
  <c r="M12" i="20"/>
  <c r="M15" s="1"/>
  <c r="M16" s="1"/>
  <c r="M38" i="1"/>
  <c r="L15" i="143" l="1"/>
  <c r="L17" s="1"/>
  <c r="L19" s="1"/>
  <c r="X13" i="130"/>
  <c r="M13" i="35"/>
  <c r="M14"/>
  <c r="L21" i="143"/>
  <c r="L15" i="35"/>
  <c r="E182" i="121"/>
  <c r="H73"/>
  <c r="J67" i="1"/>
  <c r="M40"/>
  <c r="S82" i="121"/>
  <c r="L22" i="143" l="1"/>
  <c r="S83" i="121"/>
  <c r="M42" i="1"/>
  <c r="M11" i="130" s="1"/>
  <c r="L17" i="35"/>
  <c r="L19" s="1"/>
  <c r="K17" i="130" s="1"/>
  <c r="E184" i="121"/>
  <c r="L21" i="35"/>
  <c r="H71" i="121"/>
  <c r="H72" s="1"/>
  <c r="J71" i="1"/>
  <c r="Y11" i="130" l="1"/>
  <c r="M14" i="143"/>
  <c r="M13"/>
  <c r="N14" i="35"/>
  <c r="N13"/>
  <c r="K21" i="130"/>
  <c r="K24" s="1"/>
  <c r="K26" s="1"/>
  <c r="K28" s="1"/>
  <c r="M25" s="1"/>
  <c r="H132" i="121"/>
  <c r="H135" s="1"/>
  <c r="S85"/>
  <c r="L22" i="35"/>
  <c r="E186" i="121"/>
  <c r="H75"/>
  <c r="J41" i="79"/>
  <c r="J44" s="1"/>
  <c r="F10" i="121" l="1"/>
  <c r="G10" i="103" s="1"/>
  <c r="F201" i="121"/>
  <c r="F183"/>
  <c r="G26"/>
  <c r="H27" i="103" s="1"/>
  <c r="G196" i="121"/>
  <c r="F182"/>
  <c r="G5"/>
  <c r="H5" i="103" s="1"/>
  <c r="F26" i="121" l="1"/>
  <c r="G27" i="103" s="1"/>
  <c r="J5" i="121"/>
  <c r="K5" i="103" s="1"/>
  <c r="F14" i="121"/>
  <c r="G14" i="103" s="1"/>
  <c r="E28" i="121" l="1"/>
  <c r="F29" i="103" s="1"/>
  <c r="I7" i="121"/>
  <c r="J7" i="103" s="1"/>
  <c r="F205" i="121"/>
  <c r="F17"/>
  <c r="G17" i="103" s="1"/>
  <c r="I14" i="121" l="1"/>
  <c r="J14" i="103" s="1"/>
  <c r="E35" i="121"/>
  <c r="F36" i="103" s="1"/>
  <c r="F19" i="121"/>
  <c r="G19" i="103" s="1"/>
  <c r="G4" i="95"/>
  <c r="G5" s="1"/>
  <c r="G7" s="1"/>
  <c r="G8" s="1"/>
  <c r="F207" i="121"/>
  <c r="I17" l="1"/>
  <c r="J17" i="103" s="1"/>
  <c r="E38" i="121"/>
  <c r="F39" i="103" s="1"/>
  <c r="F209" i="121"/>
  <c r="D8" i="122"/>
  <c r="W120" i="121"/>
  <c r="F21"/>
  <c r="G21" i="103" s="1"/>
  <c r="G10" i="95"/>
  <c r="G9"/>
  <c r="I19" i="121" l="1"/>
  <c r="J19" i="103" s="1"/>
  <c r="E40" i="121"/>
  <c r="F41" i="103" s="1"/>
  <c r="G11" i="95"/>
  <c r="G12"/>
  <c r="G13" s="1"/>
  <c r="G18" i="121"/>
  <c r="H18" i="103" s="1"/>
  <c r="D6" i="122"/>
  <c r="D10" s="1"/>
  <c r="G206" i="121"/>
  <c r="W121"/>
  <c r="Y12" i="130" l="1"/>
  <c r="K6" i="121"/>
  <c r="L6" i="103" s="1"/>
  <c r="G27" i="121" l="1"/>
  <c r="H28" i="103" s="1"/>
  <c r="J12" i="121"/>
  <c r="K12" i="103" s="1"/>
  <c r="Y13" i="130" l="1"/>
  <c r="F33" i="121"/>
  <c r="G34" i="103" s="1"/>
  <c r="K7" i="121"/>
  <c r="L7" i="103" s="1"/>
  <c r="G28" i="121" l="1"/>
  <c r="H29" i="103" s="1"/>
  <c r="W13" i="130" l="1"/>
  <c r="J7" i="121"/>
  <c r="K7" i="103" s="1"/>
  <c r="F28" i="121" l="1"/>
  <c r="G29" i="103" s="1"/>
  <c r="J6" i="121" l="1"/>
  <c r="K6" i="103" s="1"/>
  <c r="W12" i="130" l="1"/>
  <c r="F27" i="121"/>
  <c r="G28" i="103" s="1"/>
  <c r="W17" i="130" l="1"/>
  <c r="J10" i="121"/>
  <c r="K10" i="103" s="1"/>
  <c r="W21" i="130" l="1"/>
  <c r="W24" s="1"/>
  <c r="W26" s="1"/>
  <c r="W28" s="1"/>
  <c r="U30"/>
  <c r="F31" i="121"/>
  <c r="G32" i="103" s="1"/>
  <c r="J14" i="121"/>
  <c r="K14" i="103" s="1"/>
  <c r="Y25" i="130" l="1"/>
  <c r="F35" i="121"/>
  <c r="G36" i="103" s="1"/>
  <c r="J17" i="121"/>
  <c r="K17" i="103" s="1"/>
  <c r="F38" i="121" l="1"/>
  <c r="G39" i="103" s="1"/>
  <c r="J19" i="121"/>
  <c r="K19" i="103" s="1"/>
  <c r="F40" i="121" l="1"/>
  <c r="G41" i="103" s="1"/>
  <c r="E8" i="122"/>
  <c r="J21" i="121"/>
  <c r="K21" i="103" s="1"/>
  <c r="Y120" i="121"/>
  <c r="F42" l="1"/>
  <c r="G43" i="103" s="1"/>
  <c r="E6" i="122"/>
  <c r="E10" s="1"/>
  <c r="K18" i="121"/>
  <c r="L18" i="103" s="1"/>
  <c r="Y121" i="121"/>
  <c r="G39" l="1"/>
  <c r="H40" i="103" s="1"/>
  <c r="K10" i="121" l="1"/>
  <c r="L10" i="103" s="1"/>
  <c r="K14" i="121" l="1"/>
  <c r="L14" i="103" s="1"/>
  <c r="K17" i="121" l="1"/>
  <c r="L17" i="103" s="1"/>
  <c r="D8" i="120" l="1"/>
  <c r="D9" s="1"/>
  <c r="K19" i="121"/>
  <c r="L19" i="103" s="1"/>
  <c r="K20" i="121" l="1"/>
  <c r="L20" i="103" s="1"/>
  <c r="K21" i="121"/>
  <c r="L21" i="103" s="1"/>
  <c r="G42" i="121" l="1"/>
  <c r="H43" i="103" s="1"/>
  <c r="D3" i="120" l="1"/>
  <c r="D5" s="1"/>
  <c r="G10" i="121"/>
  <c r="H10" i="103" s="1"/>
  <c r="G14" i="121"/>
  <c r="H14" i="103" s="1"/>
  <c r="G17" i="121"/>
  <c r="H17" i="103" s="1"/>
  <c r="G19" i="121"/>
  <c r="H19" i="103" s="1"/>
  <c r="G20" i="121"/>
  <c r="H20" i="103" s="1"/>
  <c r="G31" i="121"/>
  <c r="H32" i="103" s="1"/>
  <c r="G35" i="121"/>
  <c r="H36" i="103" s="1"/>
  <c r="G38" i="121"/>
  <c r="H39" i="103" s="1"/>
  <c r="G40" i="121"/>
  <c r="H41" i="103" s="1"/>
  <c r="G41" i="121"/>
  <c r="H42" i="103" s="1"/>
  <c r="G201" i="121"/>
  <c r="G205"/>
  <c r="G207"/>
  <c r="G208"/>
  <c r="H4" i="95"/>
  <c r="H5" s="1"/>
  <c r="H7" s="1"/>
  <c r="H8" s="1"/>
  <c r="H10" l="1"/>
  <c r="H9"/>
  <c r="H12" l="1"/>
  <c r="H13" s="1"/>
  <c r="H11"/>
  <c r="Y18" i="130" l="1"/>
  <c r="Y22"/>
  <c r="I14" i="97"/>
  <c r="I17" s="1"/>
  <c r="P14"/>
  <c r="P17" s="1"/>
  <c r="I19" l="1"/>
  <c r="S21" i="130"/>
  <c r="S24" s="1"/>
  <c r="S26" s="1"/>
  <c r="P19" i="97"/>
  <c r="P21" s="1"/>
  <c r="S17" i="130"/>
  <c r="I21" i="97" l="1"/>
  <c r="I25"/>
  <c r="P22"/>
  <c r="P23" s="1"/>
  <c r="I23" l="1"/>
  <c r="I24" s="1"/>
  <c r="J24" s="1"/>
  <c r="I22"/>
  <c r="S27" i="130" s="1"/>
  <c r="S28" s="1"/>
  <c r="L11" i="145"/>
  <c r="L14" s="1"/>
  <c r="L16" s="1"/>
  <c r="N22" i="35" l="1"/>
  <c r="F186" i="121"/>
  <c r="H33" i="130"/>
  <c r="H26"/>
  <c r="T28"/>
  <c r="T27"/>
  <c r="D72" i="135"/>
  <c r="O12" i="35"/>
  <c r="F181" i="121"/>
  <c r="F184"/>
  <c r="N21" i="35"/>
  <c r="E28" i="140"/>
  <c r="M28" i="130"/>
  <c r="E30" i="54"/>
  <c r="T25" i="130"/>
  <c r="E29" i="54"/>
  <c r="Z27" i="130"/>
  <c r="E28" i="54"/>
  <c r="M13" i="58"/>
  <c r="M21" i="143"/>
  <c r="E32" i="140"/>
  <c r="Z25" i="130"/>
  <c r="Z28"/>
  <c r="E25" i="140"/>
  <c r="E25" i="54"/>
  <c r="M22" i="143"/>
  <c r="E31" i="140"/>
  <c r="N28" i="130"/>
  <c r="E27" i="54"/>
  <c r="D44" i="79"/>
  <c r="N12" i="143"/>
  <c r="E29" i="140"/>
  <c r="N11" i="142"/>
  <c r="N13"/>
  <c r="R28" i="130"/>
  <c r="D69" i="135"/>
  <c r="D68"/>
  <c r="E30" i="140"/>
  <c r="X26" i="130"/>
  <c r="X28"/>
  <c r="E27" i="140"/>
  <c r="E48" i="130"/>
  <c r="E50"/>
  <c r="E24" i="140"/>
  <c r="L28" i="130"/>
  <c r="N25"/>
  <c r="Z26"/>
  <c r="E26" i="54"/>
  <c r="D41" i="79"/>
  <c r="E31" i="54"/>
  <c r="H15" i="130"/>
  <c r="H21"/>
  <c r="H24"/>
  <c r="M27"/>
  <c r="Y27"/>
  <c r="Y26"/>
  <c r="Y28"/>
  <c r="E26" i="140"/>
  <c r="Y17" i="130"/>
  <c r="Y21"/>
  <c r="Y24"/>
  <c r="R21"/>
  <c r="R24"/>
  <c r="R26"/>
  <c r="K11" i="145"/>
  <c r="K14"/>
  <c r="K16"/>
  <c r="R17" i="130"/>
  <c r="X17"/>
  <c r="X21"/>
  <c r="X24"/>
  <c r="Z17"/>
  <c r="Z21"/>
  <c r="Z24"/>
  <c r="E37"/>
  <c r="E46"/>
  <c r="T26"/>
  <c r="M11" i="145"/>
  <c r="M14"/>
  <c r="M16"/>
  <c r="T17" i="130"/>
  <c r="T21"/>
  <c r="T24"/>
  <c r="M12" i="143"/>
  <c r="M15"/>
  <c r="M17"/>
  <c r="M19"/>
  <c r="L24" i="130"/>
  <c r="L26"/>
  <c r="M12" i="35"/>
  <c r="M17"/>
  <c r="M19"/>
  <c r="L17" i="130"/>
  <c r="L21"/>
  <c r="E32" i="54"/>
  <c r="D68" i="1"/>
  <c r="D67"/>
  <c r="D71"/>
  <c r="N17" i="130"/>
  <c r="N21"/>
  <c r="N24"/>
  <c r="N26"/>
  <c r="O11" i="142"/>
  <c r="O13"/>
  <c r="N27" i="130"/>
  <c r="P12" i="35"/>
  <c r="P17"/>
  <c r="P19"/>
  <c r="E24" i="54"/>
  <c r="M26" i="130"/>
  <c r="M11" i="58"/>
  <c r="N12" i="35"/>
  <c r="N15"/>
  <c r="N17"/>
  <c r="N19"/>
  <c r="M17" i="130"/>
  <c r="M21"/>
  <c r="M24"/>
</calcChain>
</file>

<file path=xl/comments1.xml><?xml version="1.0" encoding="utf-8"?>
<comments xmlns="http://schemas.openxmlformats.org/spreadsheetml/2006/main">
  <authors>
    <author>SSC-COM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>SSC-COM:</t>
        </r>
        <r>
          <rPr>
            <sz val="8"/>
            <color indexed="81"/>
            <rFont val="Tahoma"/>
            <family val="2"/>
          </rPr>
          <t xml:space="preserve">
Gross</t>
        </r>
      </text>
    </comment>
  </commentList>
</comments>
</file>

<file path=xl/comments10.xml><?xml version="1.0" encoding="utf-8"?>
<comments xmlns="http://schemas.openxmlformats.org/spreadsheetml/2006/main">
  <authors>
    <author>Dheeraj.Nagpal</author>
  </authors>
  <commentList>
    <comment ref="H15" authorId="0">
      <text>
        <r>
          <rPr>
            <b/>
            <sz val="9"/>
            <color indexed="81"/>
            <rFont val="Tahoma"/>
            <family val="2"/>
          </rPr>
          <t>Dheeraj.Nagpal:</t>
        </r>
        <r>
          <rPr>
            <sz val="9"/>
            <color indexed="81"/>
            <rFont val="Tahoma"/>
            <family val="2"/>
          </rPr>
          <t xml:space="preserve">
Formula Changed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Dheeraj.Nagpal:</t>
        </r>
        <r>
          <rPr>
            <sz val="9"/>
            <color indexed="81"/>
            <rFont val="Tahoma"/>
            <family val="2"/>
          </rPr>
          <t xml:space="preserve">
Formula Changed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Dheeraj.Nagpal:</t>
        </r>
        <r>
          <rPr>
            <sz val="9"/>
            <color indexed="81"/>
            <rFont val="Tahoma"/>
            <family val="2"/>
          </rPr>
          <t xml:space="preserve">
Formula Changed</t>
        </r>
      </text>
    </comment>
  </commentList>
</comments>
</file>

<file path=xl/comments11.xml><?xml version="1.0" encoding="utf-8"?>
<comments xmlns="http://schemas.openxmlformats.org/spreadsheetml/2006/main">
  <authors>
    <author>shashi.goyal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This is as per accounts and not on normative basis. This has been included in order to have comparison</t>
        </r>
      </text>
    </comment>
  </commentList>
</comments>
</file>

<file path=xl/comments12.xml><?xml version="1.0" encoding="utf-8"?>
<comments xmlns="http://schemas.openxmlformats.org/spreadsheetml/2006/main">
  <authors>
    <author>shashi.goyal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This is as per accounts and not on normative basis. This has been included in order to have comparison</t>
        </r>
      </text>
    </comment>
  </commentList>
</comments>
</file>

<file path=xl/comments13.xml><?xml version="1.0" encoding="utf-8"?>
<comments xmlns="http://schemas.openxmlformats.org/spreadsheetml/2006/main">
  <authors>
    <author>shashi.goyal</author>
  </authors>
  <commentList>
    <comment ref="B61" authorId="0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This not to be considered according to the discussion held on 17-11 with Mr. Singhla, Substation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This not to be considered as per the discussion held on Nov 17, 2011 with Mr. Singhla, Substation</t>
        </r>
      </text>
    </comment>
  </commentList>
</comments>
</file>

<file path=xl/comments14.xml><?xml version="1.0" encoding="utf-8"?>
<comments xmlns="http://schemas.openxmlformats.org/spreadsheetml/2006/main">
  <authors>
    <author>cra</author>
  </authors>
  <commentList>
    <comment ref="C5" authorId="0">
      <text/>
    </comment>
    <comment ref="W8" authorId="0">
      <text/>
    </comment>
    <comment ref="AH8" authorId="0">
      <text/>
    </comment>
    <comment ref="C13" authorId="0">
      <text/>
    </comment>
  </commentList>
</comments>
</file>

<file path=xl/comments15.xml><?xml version="1.0" encoding="utf-8"?>
<comments xmlns="http://schemas.openxmlformats.org/spreadsheetml/2006/main">
  <authors>
    <author>DD3planning</author>
  </authors>
  <commentList>
    <comment ref="A258" authorId="0">
      <text>
        <r>
          <rPr>
            <b/>
            <sz val="8"/>
            <color indexed="81"/>
            <rFont val="Tahoma"/>
            <family val="2"/>
          </rPr>
          <t>DD3planning: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shashi.goyal</author>
  </authors>
  <commentList>
    <comment ref="G19" authorId="0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Regulatory Returns so not given in accounts.</t>
        </r>
      </text>
    </comment>
    <comment ref="G44" authorId="0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Regulatory Returns so not given in accounts.</t>
        </r>
      </text>
    </comment>
  </commentList>
</comments>
</file>

<file path=xl/comments3.xml><?xml version="1.0" encoding="utf-8"?>
<comments xmlns="http://schemas.openxmlformats.org/spreadsheetml/2006/main">
  <authors>
    <author>Dheeraj.Nagpal</author>
  </authors>
  <commentList>
    <comment ref="F41" authorId="0">
      <text>
        <r>
          <rPr>
            <b/>
            <sz val="9"/>
            <color indexed="81"/>
            <rFont val="Tahoma"/>
            <family val="2"/>
          </rPr>
          <t>Dheeraj.Nagpal:</t>
        </r>
        <r>
          <rPr>
            <sz val="9"/>
            <color indexed="81"/>
            <rFont val="Tahoma"/>
            <family val="2"/>
          </rPr>
          <t xml:space="preserve">
Sum is 6.48 but according to the data given by client it shud be 6.59</t>
        </r>
      </text>
    </comment>
  </commentList>
</comments>
</file>

<file path=xl/comments4.xml><?xml version="1.0" encoding="utf-8"?>
<comments xmlns="http://schemas.openxmlformats.org/spreadsheetml/2006/main">
  <authors>
    <author>shashi.goyal</author>
  </authors>
  <commentList>
    <comment ref="D42" authorId="0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Revised subsequently by PSTCL as per GoP notification</t>
        </r>
      </text>
    </comment>
    <comment ref="H42" authorId="0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Revised subsequently by PSTCL as per GoP Notification</t>
        </r>
      </text>
    </comment>
  </commentList>
</comments>
</file>

<file path=xl/comments5.xml><?xml version="1.0" encoding="utf-8"?>
<comments xmlns="http://schemas.openxmlformats.org/spreadsheetml/2006/main">
  <authors>
    <author>shashi.goyal</author>
  </authors>
  <commentList>
    <comment ref="D41" authorId="0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Revised subsequently by PSTCL as per GoP notification</t>
        </r>
      </text>
    </comment>
    <comment ref="H41" authorId="0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Revised subsequently by PSTCL as per GoP Notification</t>
        </r>
      </text>
    </comment>
  </commentList>
</comments>
</file>

<file path=xl/comments6.xml><?xml version="1.0" encoding="utf-8"?>
<comments xmlns="http://schemas.openxmlformats.org/spreadsheetml/2006/main">
  <authors>
    <author>shashi.goyal</author>
  </authors>
  <commentList>
    <comment ref="C41" authorId="0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Chnaged to 0 on the basis of discussion with FA.</t>
        </r>
      </text>
    </comment>
  </commentList>
</comments>
</file>

<file path=xl/comments7.xml><?xml version="1.0" encoding="utf-8"?>
<comments xmlns="http://schemas.openxmlformats.org/spreadsheetml/2006/main">
  <authors>
    <author>Dheeraj.Nagpal</author>
  </authors>
  <commentList>
    <comment ref="H29" authorId="0">
      <text>
        <r>
          <rPr>
            <b/>
            <sz val="9"/>
            <color indexed="81"/>
            <rFont val="Tahoma"/>
            <family val="2"/>
          </rPr>
          <t>Dheeraj.Nagpal:</t>
        </r>
        <r>
          <rPr>
            <sz val="9"/>
            <color indexed="81"/>
            <rFont val="Tahoma"/>
            <family val="2"/>
          </rPr>
          <t xml:space="preserve">
Changed the Formula.. Please check</t>
        </r>
      </text>
    </comment>
  </commentList>
</comments>
</file>

<file path=xl/comments8.xml><?xml version="1.0" encoding="utf-8"?>
<comments xmlns="http://schemas.openxmlformats.org/spreadsheetml/2006/main">
  <authors>
    <author>cra</author>
    <author>shashi.goyal</author>
  </authors>
  <commentList>
    <comment ref="C5" authorId="0">
      <text/>
    </comment>
    <comment ref="Y8" authorId="0">
      <text/>
    </comment>
    <comment ref="AJ8" authorId="0">
      <text/>
    </comment>
    <comment ref="C13" authorId="0">
      <text/>
    </comment>
    <comment ref="J53" authorId="1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Transfer of assets</t>
        </r>
      </text>
    </comment>
    <comment ref="G57" authorId="1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cerc depreciation rate..Depreciation rate to be discussed further</t>
        </r>
      </text>
    </comment>
  </commentList>
</comments>
</file>

<file path=xl/comments9.xml><?xml version="1.0" encoding="utf-8"?>
<comments xmlns="http://schemas.openxmlformats.org/spreadsheetml/2006/main">
  <authors>
    <author>cra</author>
    <author>shashi.goyal</author>
  </authors>
  <commentList>
    <comment ref="C5" authorId="0">
      <text/>
    </comment>
    <comment ref="W8" authorId="0">
      <text/>
    </comment>
    <comment ref="AH8" authorId="0">
      <text/>
    </comment>
    <comment ref="C13" authorId="0">
      <text/>
    </comment>
    <comment ref="J53" authorId="1">
      <text>
        <r>
          <rPr>
            <b/>
            <sz val="8"/>
            <color indexed="81"/>
            <rFont val="Tahoma"/>
            <family val="2"/>
          </rPr>
          <t>shashi.goyal:</t>
        </r>
        <r>
          <rPr>
            <sz val="8"/>
            <color indexed="81"/>
            <rFont val="Tahoma"/>
            <family val="2"/>
          </rPr>
          <t xml:space="preserve">
Transfer of assets</t>
        </r>
      </text>
    </comment>
  </commentList>
</comments>
</file>

<file path=xl/sharedStrings.xml><?xml version="1.0" encoding="utf-8"?>
<sst xmlns="http://schemas.openxmlformats.org/spreadsheetml/2006/main" count="7599" uniqueCount="2805">
  <si>
    <t>from 132kV S/S Tarn Taran.</t>
  </si>
  <si>
    <t>132kV S/S Tarn Taran (Aug)</t>
  </si>
  <si>
    <t>1x40/50  + 1x12.5/16 MVA</t>
  </si>
  <si>
    <t xml:space="preserve">i)2x40/50 MVA 132/66 kV T/F's have become </t>
  </si>
  <si>
    <t>2x40/50 MVA 132/66kV</t>
  </si>
  <si>
    <t xml:space="preserve">132/66kV to replace existing </t>
  </si>
  <si>
    <t xml:space="preserve">spare due to commissioning of new </t>
  </si>
  <si>
    <t>1x40/50 MVA 132/66kV T/F</t>
  </si>
  <si>
    <t>220kV grid Rashiana.</t>
  </si>
  <si>
    <t xml:space="preserve">ii) 1x 40/50 MVA 132/66kV T/F shall be  </t>
  </si>
  <si>
    <t>utilized at 132kV Kotkapura</t>
  </si>
  <si>
    <t xml:space="preserve">iii) 1x12.5/16 MVA,132/66 kV T/F as spared </t>
  </si>
  <si>
    <t xml:space="preserve">from 132kV Kotkapura shall be utilized at </t>
  </si>
  <si>
    <t>132kV Tarn Taran.</t>
  </si>
  <si>
    <t>132 KV Samadh Bhai (Aug)</t>
  </si>
  <si>
    <t>Addl 1x20/25 MVA,132/66 KV</t>
  </si>
  <si>
    <t>1x30/40 MVA,132/66 KV</t>
  </si>
  <si>
    <t>1X16/20 MVA,132/11 KV</t>
  </si>
  <si>
    <t>a) 132kV Moga II-Dharamkot line (Aug.)</t>
  </si>
  <si>
    <t>repl. With 14km/0.2sq" on existing structures</t>
  </si>
  <si>
    <t>New work added  Critical work</t>
  </si>
  <si>
    <t>b) 2nd ckt of 132kV Moga-Kotkarore line for Moga-II</t>
  </si>
  <si>
    <t>14km/0.125sq" SC on SC line</t>
  </si>
  <si>
    <t>MKT</t>
  </si>
  <si>
    <t>132 KV Abohar (Aug.)</t>
  </si>
  <si>
    <t>Addl.1X20/25 MVA,132/66-33 KV</t>
  </si>
  <si>
    <t>New work added. Critical work</t>
  </si>
  <si>
    <t>1X20/25MVA, 132/66-33kV</t>
  </si>
  <si>
    <t>1X25MVA, 132/66-33kV</t>
  </si>
  <si>
    <t>1X20/10/10MVA, 132/33/11kV</t>
  </si>
  <si>
    <t>1X16/20MVA, 132/11kV</t>
  </si>
  <si>
    <t>132 KV Sarainaga (Aug.)</t>
  </si>
  <si>
    <t xml:space="preserve">Addl.1x20 MVA,132/66-33 KV </t>
  </si>
  <si>
    <t>1X20/10/10 MVA, 132/33/11kV</t>
  </si>
  <si>
    <t>1X12.5MVA, 132/11kV</t>
  </si>
  <si>
    <t>132kV Malout-Abohar line</t>
  </si>
  <si>
    <t xml:space="preserve">Repl. With new conductor 29.64km/0.2sq" </t>
  </si>
  <si>
    <t>a) Making 132KV Jamalpur-Moga ckt-II to</t>
  </si>
  <si>
    <t>LILO with 0.2 Sq" on DC towers</t>
  </si>
  <si>
    <t>REC Work</t>
  </si>
  <si>
    <t>make LILO at 132KV Swadi Kalan</t>
  </si>
  <si>
    <t>b) 132KV bays</t>
  </si>
  <si>
    <t>132 KV Anandpur Sahib(Aug)</t>
  </si>
  <si>
    <t>1x40/50 MVA,132/66 KV to rep</t>
  </si>
  <si>
    <t>2x12.5MVA,132/11KV</t>
  </si>
  <si>
    <t>1x12.5/16 MVA, 132/66 KV T/F</t>
  </si>
  <si>
    <t>Scheme No. 161424</t>
  </si>
  <si>
    <t>1X12.5/16 MVA,132/66 KV</t>
  </si>
  <si>
    <t>Proposed in 2006-07</t>
  </si>
  <si>
    <t>a)132 KV Kiratpur Sahib/Nakkian(New)</t>
  </si>
  <si>
    <t>1x12.5 MVA,132/11 KV</t>
  </si>
  <si>
    <t xml:space="preserve">REC Work Scheme No. 161424 </t>
  </si>
  <si>
    <t>b)132 KV Nakkian-kiratpur Sahib/Nakkian line</t>
  </si>
  <si>
    <t>1.5 Kms/0.2Sq" initial portion</t>
  </si>
  <si>
    <t>cost of civil works included.</t>
  </si>
  <si>
    <t xml:space="preserve">stringing 2nd ckt on existing </t>
  </si>
  <si>
    <t>DC towers of 132 KV Nakkian</t>
  </si>
  <si>
    <t>Ropar line and balance SC</t>
  </si>
  <si>
    <t>On DC towers,</t>
  </si>
  <si>
    <t>132 KV  G.T road  Mal Mandi(Aug)</t>
  </si>
  <si>
    <t>1X40/50 MVA,132/66 to Replace</t>
  </si>
  <si>
    <t xml:space="preserve">Recommended by CE/BZ,ASR REC work, </t>
  </si>
  <si>
    <t>1x16/20 MVA,132/66 KV</t>
  </si>
  <si>
    <t>1x16/20 MVA, 132/66 KV T/F</t>
  </si>
  <si>
    <t xml:space="preserve"> scheme no.100792 </t>
  </si>
  <si>
    <t>1X20 MVA,132/11 KV</t>
  </si>
  <si>
    <t>a)132 KV line from 220 KV S/S</t>
  </si>
  <si>
    <t>a) Stringing of 2nd ckt(2km)</t>
  </si>
  <si>
    <t xml:space="preserve">REC Work Scheme no. 161417, </t>
  </si>
  <si>
    <t>Mahilpur to 132 KV  Hoshiarpur</t>
  </si>
  <si>
    <t xml:space="preserve">0.2sq'' conductor from Mahilpur  </t>
  </si>
  <si>
    <t>(25.5 Km/0.2 Sq."SC on SC towers)</t>
  </si>
  <si>
    <t xml:space="preserve"> end on existing DC towers</t>
  </si>
  <si>
    <t xml:space="preserve">b) 5.5km/0.2sq'' DC line on DC </t>
  </si>
  <si>
    <t xml:space="preserve"> towers from Hoshiarpur end using </t>
  </si>
  <si>
    <t>existing ROW. (existing SC line to</t>
  </si>
  <si>
    <t>be dismantled)</t>
  </si>
  <si>
    <t>c)18km/0.2sq''SC  on SC towers.</t>
  </si>
  <si>
    <t>(existing SC line to be retained))</t>
  </si>
  <si>
    <t xml:space="preserve">b) 132 KV Bays </t>
  </si>
  <si>
    <t>KPT</t>
  </si>
  <si>
    <t>132KV S/S Nakodar (Aug.)</t>
  </si>
  <si>
    <t>Addl. 1X12.5/16MVA,132/66-33KV</t>
  </si>
  <si>
    <t>New work added. T/F replaced from</t>
  </si>
  <si>
    <t>1x40/50 MVA, 132/66KV</t>
  </si>
  <si>
    <t>132KV Nur Mehal may be used.</t>
  </si>
  <si>
    <t>1x16/20 MVA, 132/11KV</t>
  </si>
  <si>
    <t>Critical work.</t>
  </si>
  <si>
    <t>1x10/12.5 MVA, 132/11KV</t>
  </si>
  <si>
    <t xml:space="preserve"> Total of 132 KV Works</t>
  </si>
  <si>
    <r>
      <t>New work added. Critical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work</t>
    </r>
  </si>
  <si>
    <t>Capital Expenditure</t>
  </si>
  <si>
    <t>Interest Cost</t>
  </si>
  <si>
    <t>(Rs. in Crore)</t>
  </si>
  <si>
    <t xml:space="preserve">(Rs. in Crore) </t>
  </si>
  <si>
    <t xml:space="preserve">Depreciation Charges </t>
  </si>
  <si>
    <t>(Rs. In Crore)</t>
  </si>
  <si>
    <t>(Rs in Crore)</t>
  </si>
  <si>
    <t>Annexure A</t>
  </si>
  <si>
    <t>Annexure B</t>
  </si>
  <si>
    <t>Return On Equity</t>
  </si>
  <si>
    <t>Rajpura (400 KV) Transmission Lines</t>
  </si>
  <si>
    <t>Transmission Lines &amp; Sub stations</t>
  </si>
  <si>
    <t>220 KV</t>
  </si>
  <si>
    <t>Name of S/S</t>
  </si>
  <si>
    <t>No. of 220 KVBays</t>
  </si>
  <si>
    <t>Himmatpura</t>
  </si>
  <si>
    <t>Sadiq</t>
  </si>
  <si>
    <t>Raishiana</t>
  </si>
  <si>
    <t>Kharar</t>
  </si>
  <si>
    <t>Malout</t>
  </si>
  <si>
    <t>Jhunir</t>
  </si>
  <si>
    <t>Lalru</t>
  </si>
  <si>
    <t>Pakhowal</t>
  </si>
  <si>
    <t>Nabha</t>
  </si>
  <si>
    <t>Kanjli</t>
  </si>
  <si>
    <t>FZR Rd. Ldh</t>
  </si>
  <si>
    <t>Bassi Pathana</t>
  </si>
  <si>
    <t>Algaon</t>
  </si>
  <si>
    <t>Rehana Kalan</t>
  </si>
  <si>
    <t>Doraha</t>
  </si>
  <si>
    <t>G-4 at G-1</t>
  </si>
  <si>
    <t>Mastewala</t>
  </si>
  <si>
    <t>Mehal Kalan</t>
  </si>
  <si>
    <t>Kotkapura</t>
  </si>
  <si>
    <t>Abohar</t>
  </si>
  <si>
    <t>Bangan</t>
  </si>
  <si>
    <t>Nur Mehal</t>
  </si>
  <si>
    <t>Devigarh</t>
  </si>
  <si>
    <t>Chogawan</t>
  </si>
  <si>
    <t>Chola Sahib</t>
  </si>
  <si>
    <t>Passiana</t>
  </si>
  <si>
    <t>Banur</t>
  </si>
  <si>
    <t>Kakrala</t>
  </si>
  <si>
    <t>Talwandi Sabo</t>
  </si>
  <si>
    <t>Badal</t>
  </si>
  <si>
    <t>Badshahpur</t>
  </si>
  <si>
    <t>Jkolaha</t>
  </si>
  <si>
    <t>Gaunsgarh</t>
  </si>
  <si>
    <t>Dhanaula</t>
  </si>
  <si>
    <t>No of Sub Station</t>
  </si>
  <si>
    <t>Sub station</t>
  </si>
  <si>
    <t>Closing Balance</t>
  </si>
  <si>
    <t>Format F 18</t>
  </si>
  <si>
    <t>Format F 19</t>
  </si>
  <si>
    <t>Receivables equivalent to two months of fixed cost.</t>
  </si>
  <si>
    <t xml:space="preserve">Maintenance spares @ 15% of Operation and Maintenance expenses </t>
  </si>
  <si>
    <t>Operation and Maintenance expenses for one month.</t>
  </si>
  <si>
    <t>(Rs. In crore)</t>
  </si>
  <si>
    <t>Format F 20</t>
  </si>
  <si>
    <t>Normative Interest on Working Capital</t>
  </si>
  <si>
    <t>interest</t>
  </si>
  <si>
    <t>Interest &amp; Finance charges Capitalized</t>
  </si>
  <si>
    <t>Other expenses capitalized:</t>
  </si>
  <si>
    <t>Establishment expenses</t>
  </si>
  <si>
    <t>Investment capitalized</t>
  </si>
  <si>
    <t>Current year (2010-11)  upto Sep. 2010 Transmission</t>
  </si>
  <si>
    <t>R&amp;M for Assets Addition during the year</t>
  </si>
  <si>
    <t>Opening GFA</t>
  </si>
  <si>
    <t>A&amp;G for Assets Addition during the year</t>
  </si>
  <si>
    <t>ARR</t>
  </si>
  <si>
    <t>Monthly ARR</t>
  </si>
  <si>
    <t>MW capacity</t>
  </si>
  <si>
    <t>a</t>
  </si>
  <si>
    <t>b</t>
  </si>
  <si>
    <t>c</t>
  </si>
  <si>
    <t>Net MW Capacity</t>
  </si>
  <si>
    <t>Gross MW Capacity</t>
  </si>
  <si>
    <t>Transmission Charges</t>
  </si>
  <si>
    <t>Long Term open Access Charges (Rs./MW/Day)</t>
  </si>
  <si>
    <t>Proposed Transmission Tariff (Rs/MW/month)</t>
  </si>
  <si>
    <t>Short term Open Access Charges (Rs./MW/Day) (20%*5)</t>
  </si>
  <si>
    <t>Proposed Transmission Tariff (Rs/MW/day)</t>
  </si>
  <si>
    <t>Upto 6 hours in one block (0.25*(7))(Rs./MW/)</t>
  </si>
  <si>
    <t>More than 6 hours and upto 12 hours in one block (0.5*(7)) (Rs./MW)</t>
  </si>
  <si>
    <t>More than 12 hours and upto 24 hours (7) (Rs/MW)</t>
  </si>
  <si>
    <t>Funds from REC (90% of Scheme)</t>
  </si>
  <si>
    <t>Expds  Incurred upto Mar-10</t>
  </si>
  <si>
    <t>Funds required for 2010-11 (Rs.Lacs)</t>
  </si>
  <si>
    <t>Funds Available With REC</t>
  </si>
  <si>
    <t>To be arranged  by PSTCL</t>
  </si>
  <si>
    <t>t+s</t>
  </si>
  <si>
    <t>Building including renovation</t>
  </si>
  <si>
    <t xml:space="preserve">Amount of interest </t>
  </si>
  <si>
    <t>MW</t>
  </si>
  <si>
    <t>Net Revenue Requirement</t>
  </si>
  <si>
    <t>Opening Balance 1/4/10</t>
  </si>
  <si>
    <t>Opening Balance 1/4/11</t>
  </si>
  <si>
    <t>31/3/11</t>
  </si>
  <si>
    <t>31/3/12</t>
  </si>
  <si>
    <t>No of 220 KV &amp; 132KV Bays at new sub station</t>
  </si>
  <si>
    <t>No. of 132 Kv sub station bays</t>
  </si>
  <si>
    <t>Closing balance 31/3/11</t>
  </si>
  <si>
    <t>Closing balance 31/3/12</t>
  </si>
  <si>
    <t>Format F 22</t>
  </si>
  <si>
    <t xml:space="preserve">132kV Transmission Works                                                </t>
  </si>
  <si>
    <t>ULDC Charges</t>
  </si>
  <si>
    <t>Net Interest</t>
  </si>
  <si>
    <t xml:space="preserve">Annual charges </t>
  </si>
  <si>
    <t xml:space="preserve">Total Cost (Annual Fixed Cost) </t>
  </si>
  <si>
    <t xml:space="preserve">System Operation Charges (SOC) (80% of the AFC) </t>
  </si>
  <si>
    <t xml:space="preserve">Market Operation Charges (MOC) (20% of the AFC) </t>
  </si>
  <si>
    <t>System Operation Charges (SOC)</t>
  </si>
  <si>
    <t xml:space="preserve">Intra State Transmission Licensee @10% of SOC </t>
  </si>
  <si>
    <t xml:space="preserve">Generating Station &amp; Sellers @45% of SOC </t>
  </si>
  <si>
    <t xml:space="preserve">Distribution Licensees &amp; Buyers@45% of SOC </t>
  </si>
  <si>
    <t>Discoms</t>
  </si>
  <si>
    <t xml:space="preserve">Generating Companies </t>
  </si>
  <si>
    <t>SLDC ARR for FY 2011-12</t>
  </si>
  <si>
    <t>Employee Arrear expenses</t>
  </si>
  <si>
    <t>Monthly Charges</t>
  </si>
  <si>
    <t>SLDC Charges</t>
  </si>
  <si>
    <t>STATE LOAD DISPATCH CENTER</t>
  </si>
  <si>
    <t>SLDC ARR</t>
  </si>
  <si>
    <t>FY 2010-11 Estimation</t>
  </si>
  <si>
    <t>Long Term open Access Charges (Rs./MW/Day) (33.33%*5)</t>
  </si>
  <si>
    <t>Opening CWIP</t>
  </si>
  <si>
    <t>Closing</t>
  </si>
  <si>
    <t>Less Cap:</t>
  </si>
  <si>
    <t>Closing CWIP</t>
  </si>
  <si>
    <t>addition</t>
  </si>
  <si>
    <t>Loan addition exclusive of interest</t>
  </si>
  <si>
    <t>Loan addition inclusive of interest</t>
  </si>
  <si>
    <t>Interest CWIP</t>
  </si>
  <si>
    <t>Interest Amount (Rs in Crore)</t>
  </si>
  <si>
    <t>Talwandi Sabo (400 KV) Transmission Lines</t>
  </si>
  <si>
    <t>Interest transferred to GFA</t>
  </si>
  <si>
    <t>Interest (B)</t>
  </si>
  <si>
    <t>Addition: Talwandi &amp; Rajpura (A)</t>
  </si>
  <si>
    <t>Total Addition (A+B)</t>
  </si>
  <si>
    <t>Addition to GFA</t>
  </si>
  <si>
    <t>Voltage Level</t>
  </si>
  <si>
    <t>FY-2009-10</t>
  </si>
  <si>
    <t xml:space="preserve"> (%)</t>
  </si>
  <si>
    <t>FY-2010-11</t>
  </si>
  <si>
    <t>(%)</t>
  </si>
  <si>
    <t>Apr –Jun</t>
  </si>
  <si>
    <t>July-Sep</t>
  </si>
  <si>
    <t>Oct.-Dec</t>
  </si>
  <si>
    <t>Jan-Mar</t>
  </si>
  <si>
    <t>Apr-Jun</t>
  </si>
  <si>
    <t>220KV</t>
  </si>
  <si>
    <t>132KV</t>
  </si>
  <si>
    <t>Transmission Availability (%)</t>
  </si>
  <si>
    <t>Sr. no</t>
  </si>
  <si>
    <t>Name of work</t>
  </si>
  <si>
    <t>Scope of the work</t>
  </si>
  <si>
    <t>Expenditure upto sep 2010 in lacs</t>
  </si>
  <si>
    <t>Remark</t>
  </si>
  <si>
    <t>220 KV Amloh Rd. Gobindgarh (Aug) 1x100 MV, 220/66kv</t>
  </si>
  <si>
    <t>Addl, 1x100MVA, 220/66KV (2nd T/F)</t>
  </si>
  <si>
    <t>these work has been completed during the period the April, 2010 to September, 2010 and are included for regulation of their expenditure</t>
  </si>
  <si>
    <t>a) 220 kv kharar (U?G from 132 KV)</t>
  </si>
  <si>
    <t>b) LILO of GGSTP-Mohali one Ckt at 220 KV kharar</t>
  </si>
  <si>
    <t xml:space="preserve">1x100 MVA, 220/66KV </t>
  </si>
  <si>
    <t>3Km/.4 sq"</t>
  </si>
  <si>
    <t>a) 220 KV Himatpura (New)</t>
  </si>
  <si>
    <t>b) 220 KV GHTP- Himatpura DC line</t>
  </si>
  <si>
    <t>c) 220 KV Line Bays</t>
  </si>
  <si>
    <t>220 KV Verpal (Aug)</t>
  </si>
  <si>
    <t>1x30/50 MVA 220/66KV</t>
  </si>
  <si>
    <t>a) 220KV taran tarn (Rashiana) (New)</t>
  </si>
  <si>
    <t>b)LILO one Ckt. Of 220 KV verpal-patti</t>
  </si>
  <si>
    <t>line in Rahiana</t>
  </si>
  <si>
    <t>220 KV Sunarm (Aug)</t>
  </si>
  <si>
    <t>2x100 MVA, 220/66KV</t>
  </si>
  <si>
    <t>a)220 KV sadiq (U/G from 132 KV)</t>
  </si>
  <si>
    <t>b) LILO of 220 KV Moga-Mikatsa Line at sadiq</t>
  </si>
  <si>
    <t>c) 220 KV line Bays</t>
  </si>
  <si>
    <t>220 KV nalagarh Mohali DC line</t>
  </si>
  <si>
    <t>1x100 MVA, 220/66KV T/f</t>
  </si>
  <si>
    <t>35 Km/o.4sq" DC on DC</t>
  </si>
  <si>
    <t>2 Nos</t>
  </si>
  <si>
    <t>1x100 MVA, 220/66KV addl T/f</t>
  </si>
  <si>
    <t>10 KM/o.4Sq"</t>
  </si>
  <si>
    <t>3rd. 1x100 MVA, 220/66KV T/f</t>
  </si>
  <si>
    <t>25 Km/.4Sq"</t>
  </si>
  <si>
    <t>50 KM/0.4Sq" DC on DC</t>
  </si>
  <si>
    <t>Expenditure including in 3 a</t>
  </si>
  <si>
    <t>Expenditure including in 7 a</t>
  </si>
  <si>
    <t>FY 2011-12 Projected</t>
  </si>
  <si>
    <t>Oct.-Nov</t>
  </si>
  <si>
    <t xml:space="preserve">Particulars </t>
  </si>
  <si>
    <t>Basic pay</t>
  </si>
  <si>
    <t>Dearness allowance</t>
  </si>
  <si>
    <t>Medical reimbursement charges</t>
  </si>
  <si>
    <t>Over time payment</t>
  </si>
  <si>
    <t>Total</t>
  </si>
  <si>
    <t>Terminal Benefits</t>
  </si>
  <si>
    <t>Leave encashment</t>
  </si>
  <si>
    <t>Gratuity</t>
  </si>
  <si>
    <t>Workman compensation</t>
  </si>
  <si>
    <t>Pension Payments</t>
  </si>
  <si>
    <t>Basic pension</t>
  </si>
  <si>
    <t>Amount capitalized</t>
  </si>
  <si>
    <t xml:space="preserve">Sr. No. </t>
  </si>
  <si>
    <t>NA</t>
  </si>
  <si>
    <t>PUNJAB STATE TRANSMISSON CORPORATION Ltd.</t>
  </si>
  <si>
    <t>ANNUAL REVENUE REQUIREMENT FOR THE YEAR 2011-12</t>
  </si>
  <si>
    <t xml:space="preserve">Value of Assets and Depreciation Charges </t>
  </si>
  <si>
    <t>Vehicles</t>
  </si>
  <si>
    <t xml:space="preserve">Item </t>
  </si>
  <si>
    <t>Transmission</t>
  </si>
  <si>
    <t>Others</t>
  </si>
  <si>
    <t>Assets as on April 1 of 2009-10</t>
  </si>
  <si>
    <t>Depreciation for 2009-10</t>
  </si>
  <si>
    <t>Assets as on April 1 of 2010-11</t>
  </si>
  <si>
    <t>Assets as on April 1 of 2011-12</t>
  </si>
  <si>
    <t>Plant &amp; machinery</t>
  </si>
  <si>
    <t>Hydraulic works &amp; civil works</t>
  </si>
  <si>
    <t>Line cable &amp; network</t>
  </si>
  <si>
    <t>Furniture &amp; fixtures</t>
  </si>
  <si>
    <t>Office equipments</t>
  </si>
  <si>
    <t>Operating expenses</t>
  </si>
  <si>
    <t>Total expenses</t>
  </si>
  <si>
    <t>Less capitalized</t>
  </si>
  <si>
    <t>Net expenses</t>
  </si>
  <si>
    <t>Total expenses charged to revenue</t>
  </si>
  <si>
    <t>Rent, rates &amp; taxes</t>
  </si>
  <si>
    <t>Insurance</t>
  </si>
  <si>
    <t>Telephone, postage &amp; telegrams</t>
  </si>
  <si>
    <t>Consultancy fees</t>
  </si>
  <si>
    <t>Technical fees</t>
  </si>
  <si>
    <t>Other professional charges</t>
  </si>
  <si>
    <t>Conveyance &amp; travel expenses</t>
  </si>
  <si>
    <t>Electricity &amp; water charges</t>
  </si>
  <si>
    <t>Freight</t>
  </si>
  <si>
    <t>Other material related expenses</t>
  </si>
  <si>
    <t xml:space="preserve">Administration and General Expenses </t>
  </si>
  <si>
    <t>(Rs. in crores)</t>
  </si>
  <si>
    <t xml:space="preserve">Repair and Maintenance Expenses </t>
  </si>
  <si>
    <t>Particulars</t>
  </si>
  <si>
    <t>Depreciation for current year  2010-11</t>
  </si>
  <si>
    <t>Depreciation for ensuing year  2011-12</t>
  </si>
  <si>
    <t>Projection</t>
  </si>
  <si>
    <t>A</t>
  </si>
  <si>
    <t>Revenue</t>
  </si>
  <si>
    <t>B</t>
  </si>
  <si>
    <t>Employee costs</t>
  </si>
  <si>
    <t>C</t>
  </si>
  <si>
    <t>Interest on Working Capital</t>
  </si>
  <si>
    <t>2010-11</t>
  </si>
  <si>
    <t>2011-12</t>
  </si>
  <si>
    <t>PUNJAB STATE TRANSMISSION COMPANY LTD.</t>
  </si>
  <si>
    <t>( Rs in Crore )</t>
  </si>
  <si>
    <t xml:space="preserve">  Income from investments and other non-tariff income</t>
  </si>
  <si>
    <t>Rental charges for staff quarters, water charges, Hospital ward , guest house etc.</t>
  </si>
  <si>
    <t>Miscellaneous receipts</t>
  </si>
  <si>
    <t>Sale of Tender forms</t>
  </si>
  <si>
    <t>S.No</t>
  </si>
  <si>
    <t xml:space="preserve">Ensuing Year </t>
  </si>
  <si>
    <t>a. Employee expenses</t>
  </si>
  <si>
    <t>b. R&amp;M Expenses</t>
  </si>
  <si>
    <t>c. A&amp;G Expenses</t>
  </si>
  <si>
    <t>Grand Total</t>
  </si>
  <si>
    <t>Contributions, Grants and subsidies towards Cost of Capital Assets</t>
  </si>
  <si>
    <t>Subsidies Towards Cost Of Capital Asset</t>
  </si>
  <si>
    <t>Grant Towards Cost Of Capital Assets</t>
  </si>
  <si>
    <t xml:space="preserve"> Total</t>
  </si>
  <si>
    <t>Revenue subsidies &amp; grants</t>
  </si>
  <si>
    <t>General Reserve</t>
  </si>
  <si>
    <t>Consumer Contribution Towards Cost Of Capital Assets</t>
  </si>
  <si>
    <t xml:space="preserve">Capital Base and Return </t>
  </si>
  <si>
    <t>Gross block at beginning of the year</t>
  </si>
  <si>
    <t>Less accumulated depreciation</t>
  </si>
  <si>
    <t>Net block at beginning of the year</t>
  </si>
  <si>
    <t>Less accumulated consumer contribution</t>
  </si>
  <si>
    <t>Net fixed assets at beginning of the year</t>
  </si>
  <si>
    <t xml:space="preserve">WIP </t>
  </si>
  <si>
    <t>As on 31st March of previous year</t>
  </si>
  <si>
    <t>Add capital expenditure during current year</t>
  </si>
  <si>
    <t>Total:</t>
  </si>
  <si>
    <t>Less transferred to fixed assets</t>
  </si>
  <si>
    <t>As on 31st March of current year</t>
  </si>
  <si>
    <t>Add capital expenditure during ensuing year</t>
  </si>
  <si>
    <t>As on 31st March of ensuing year</t>
  </si>
  <si>
    <t>Ensuing year (2011-12)</t>
  </si>
  <si>
    <t>Previous year (2009-10) (audited)</t>
  </si>
  <si>
    <t>LIC</t>
  </si>
  <si>
    <t>REC</t>
  </si>
  <si>
    <t>Lease rental</t>
  </si>
  <si>
    <t>Add prior period</t>
  </si>
  <si>
    <t xml:space="preserve">Approved by the Commission </t>
  </si>
  <si>
    <t>Administration and general expenses</t>
  </si>
  <si>
    <t>Depreciation</t>
  </si>
  <si>
    <t>Interest charges</t>
  </si>
  <si>
    <t>Total revenue requirement</t>
  </si>
  <si>
    <t>Amount of receivable bad and doubtful debts (audited)</t>
  </si>
  <si>
    <t xml:space="preserve"> Bad and Doubtful Debts </t>
  </si>
  <si>
    <t>Sr. No.</t>
  </si>
  <si>
    <t>R&amp;M expenses</t>
  </si>
  <si>
    <t>Less: Non Tariff  Income</t>
  </si>
  <si>
    <t>Net revenue requirement</t>
  </si>
  <si>
    <t>Gross Total</t>
  </si>
  <si>
    <t>Sr. No</t>
  </si>
  <si>
    <t>Add</t>
  </si>
  <si>
    <t xml:space="preserve">Less </t>
  </si>
  <si>
    <t>Addition</t>
  </si>
  <si>
    <t>Transmission (Scheme Wise)</t>
  </si>
  <si>
    <t>Other Non Tariff Income including prior period</t>
  </si>
  <si>
    <t xml:space="preserve">Note: </t>
  </si>
  <si>
    <t>Figures have be taken from Statement No. 8 of Annual Statement of Accounts of PSEB for the Year 2009-10 &amp; Format 41 supplied by AO/A&amp;R, PSPCL, Patiala.</t>
  </si>
  <si>
    <t>Figures for the year 2010-11 may kindly be filled by consultants by after consultation with Higher Authorities.</t>
  </si>
  <si>
    <t>Format F10</t>
  </si>
  <si>
    <t>Format F 15</t>
  </si>
  <si>
    <t>Format-41</t>
  </si>
  <si>
    <t xml:space="preserve">        (Rs. in crores)</t>
  </si>
  <si>
    <t>Sr No.</t>
  </si>
  <si>
    <t>Opening Balance</t>
  </si>
  <si>
    <t>Base Expenditure</t>
  </si>
  <si>
    <t>Interest during construction</t>
  </si>
  <si>
    <t>Closing balance</t>
  </si>
  <si>
    <t>FY 2010-11 Upto Sep. 10 Transmission</t>
  </si>
  <si>
    <t>FY 2009-10 Combined Entities i.e. PSEB</t>
  </si>
  <si>
    <t>New Investment</t>
  </si>
  <si>
    <t>Fixed Assets</t>
  </si>
  <si>
    <t>Format CB &amp; R</t>
  </si>
  <si>
    <t>PSEB</t>
  </si>
  <si>
    <t>PSTCL</t>
  </si>
  <si>
    <t>Equity Capital</t>
  </si>
  <si>
    <t>As per order</t>
  </si>
  <si>
    <t>Return on Equity</t>
  </si>
  <si>
    <t>Rate</t>
  </si>
  <si>
    <t>Particular</t>
  </si>
  <si>
    <t>ROE rate (%)</t>
  </si>
  <si>
    <t>FY 2010-11</t>
  </si>
  <si>
    <t xml:space="preserve"> </t>
  </si>
  <si>
    <t>Completion status</t>
  </si>
  <si>
    <t>REC/FI</t>
  </si>
  <si>
    <t>2012-13</t>
  </si>
  <si>
    <t>CWIP</t>
  </si>
  <si>
    <t>132 KV</t>
  </si>
  <si>
    <t>SLDC (2010-11)</t>
  </si>
  <si>
    <t>SLDC (2011-12)</t>
  </si>
  <si>
    <t>Return on Equity (@ 15.5%)</t>
  </si>
  <si>
    <t>Particulars (Source)</t>
  </si>
  <si>
    <t>Opening balance</t>
  </si>
  <si>
    <t>Rate of interest</t>
  </si>
  <si>
    <t>Addition  during the year</t>
  </si>
  <si>
    <t>Repayment  during the year</t>
  </si>
  <si>
    <t>OBC</t>
  </si>
  <si>
    <t>Average Loan</t>
  </si>
  <si>
    <t>Reasonable return  of NFA</t>
  </si>
  <si>
    <t>Funding Requirement</t>
  </si>
  <si>
    <t>Source of Funding</t>
  </si>
  <si>
    <t>Reff.</t>
  </si>
  <si>
    <t>Estimated Cost</t>
  </si>
  <si>
    <t xml:space="preserve">Associated 220KV(Identified)Transmission Works related to the </t>
  </si>
  <si>
    <t>Annexure-B</t>
  </si>
  <si>
    <t>evacuation of Talwandi Sabo(TPS) &amp; Rajpura TPS &amp; Other Transmission works.</t>
  </si>
  <si>
    <t xml:space="preserve">                                              FOR THE YEAR 2011-12</t>
  </si>
  <si>
    <t>Name of the Works</t>
  </si>
  <si>
    <t>Scope</t>
  </si>
  <si>
    <t xml:space="preserve">                     Funds Available</t>
  </si>
  <si>
    <t>Remarks</t>
  </si>
  <si>
    <t>Circle</t>
  </si>
  <si>
    <t>MKS</t>
  </si>
  <si>
    <t>a)220 KV S/S Abohar(U/G from 132 KV)</t>
  </si>
  <si>
    <t>1x100MVA .220/66KV</t>
  </si>
  <si>
    <t xml:space="preserve">Work related with the </t>
  </si>
  <si>
    <t>b)220 KV DC line from 400 KV Mukatsar</t>
  </si>
  <si>
    <t>46.2 KM(approx)/0.4 Sq"</t>
  </si>
  <si>
    <t>evacuationof 400KV Mukatsar</t>
  </si>
  <si>
    <t>to 220 KV Abohar</t>
  </si>
  <si>
    <t xml:space="preserve">Cost of one bay is included in </t>
  </si>
  <si>
    <t xml:space="preserve">c)220 line bays </t>
  </si>
  <si>
    <t xml:space="preserve">2nos at Abohar + 2 nos </t>
  </si>
  <si>
    <t>S/Stn.cost .</t>
  </si>
  <si>
    <t>at 400KV Mukatsar</t>
  </si>
  <si>
    <t>FDK</t>
  </si>
  <si>
    <t>a)220KV Kotkapura (new)</t>
  </si>
  <si>
    <t>(near village Sandhwan)</t>
  </si>
  <si>
    <t>evacuation of 400KV Mukatsar</t>
  </si>
  <si>
    <t xml:space="preserve">b) LILO of 220KV Baja Khana- </t>
  </si>
  <si>
    <t>3km(approx.)/0.4Sq"</t>
  </si>
  <si>
    <t xml:space="preserve">   Mukatsar  line at 220 KV Kotkapura (new).</t>
  </si>
  <si>
    <t>c)220KV DC line from 400KV Mukatsar.</t>
  </si>
  <si>
    <t>35km (approx.)/0.4 Sq"</t>
  </si>
  <si>
    <t xml:space="preserve">   to 220KV Kotkapura (New).</t>
  </si>
  <si>
    <t>DC on DC towers.</t>
  </si>
  <si>
    <t>d)220KV line bays</t>
  </si>
  <si>
    <t xml:space="preserve">4nos at Kotkapura + 2 nos </t>
  </si>
  <si>
    <t xml:space="preserve">a)220 KV SC line from 400 KV Mukatsar </t>
  </si>
  <si>
    <t>40.3km (approx.)/0.4Sq"</t>
  </si>
  <si>
    <t xml:space="preserve">   to 220 KV Gubhaya.</t>
  </si>
  <si>
    <t>SC on DC towers</t>
  </si>
  <si>
    <t>b)220KV line bays</t>
  </si>
  <si>
    <t xml:space="preserve">1no. at Ghubaya + 1no. </t>
  </si>
  <si>
    <t>TTN</t>
  </si>
  <si>
    <t>a)220KV DC line from 400KV Makhu</t>
  </si>
  <si>
    <t>30km (approx.)/0.4Sq"</t>
  </si>
  <si>
    <t>to 220KV Tarn Taran(New)</t>
  </si>
  <si>
    <t>evacuationof 400KV Makhu.</t>
  </si>
  <si>
    <t>(in village Reshiana)</t>
  </si>
  <si>
    <t xml:space="preserve">2nos at TarnTaran + 2 nos </t>
  </si>
  <si>
    <t>b)220 KV line bays</t>
  </si>
  <si>
    <t>at 400KV Makhu</t>
  </si>
  <si>
    <t>SNG</t>
  </si>
  <si>
    <t>a)220KV SC Line from 400KV Dhuri</t>
  </si>
  <si>
    <t>50KM (approx.)/0.4sq"</t>
  </si>
  <si>
    <t>to 220KV Nabha</t>
  </si>
  <si>
    <t>SC on DC towers.</t>
  </si>
  <si>
    <t>evacuation of 400KV Dhuri.</t>
  </si>
  <si>
    <t xml:space="preserve">1no. at Nabha + 1 no. </t>
  </si>
  <si>
    <t>at 400KV Dhuri</t>
  </si>
  <si>
    <t>PTA</t>
  </si>
  <si>
    <t>a)220 K V S/S Bangan (U/G)</t>
  </si>
  <si>
    <t>1x100MVA.220/66KV T/F</t>
  </si>
  <si>
    <t>b)LILO of one ckt of 220 KV Sunam-</t>
  </si>
  <si>
    <t>18Km/0.4 Sq"</t>
  </si>
  <si>
    <t>Patran DC line at 220 KV S/S Bangan.</t>
  </si>
  <si>
    <t>c)220 KV DC line from 400 KV Dhuri to</t>
  </si>
  <si>
    <t>50Km/0.4Sq"</t>
  </si>
  <si>
    <t>220 KV Bangan</t>
  </si>
  <si>
    <t>d)LILO of both ckts of 220 KV Sunam-</t>
  </si>
  <si>
    <t>15 Km/0.4Sq"</t>
  </si>
  <si>
    <t>Dhuri DC line at 400 KV Dhuri</t>
  </si>
  <si>
    <t>e)220 KV bays (at Bangan)</t>
  </si>
  <si>
    <t>4 Nos.</t>
  </si>
  <si>
    <t>JLD</t>
  </si>
  <si>
    <t>a)220 KV DC line from 400 KV Nakodar</t>
  </si>
  <si>
    <t>44.8KM(approx)/0.4sq"</t>
  </si>
  <si>
    <t>to 220 KV Kartarpur</t>
  </si>
  <si>
    <t>evacuationof 400KV Nakodhar.</t>
  </si>
  <si>
    <t>2nos at Kartarpur + 2 nos</t>
  </si>
  <si>
    <t>at 400KV Naakodar</t>
  </si>
  <si>
    <t>a)220KV S/S Nur Mehal(U/G from132KV)</t>
  </si>
  <si>
    <t>1x100MVA 220/66KV</t>
  </si>
  <si>
    <t xml:space="preserve">         </t>
  </si>
  <si>
    <t>b)220 KV DC line from 400 KV Nakodar</t>
  </si>
  <si>
    <t>11KM(approx)/0.4sq"</t>
  </si>
  <si>
    <t xml:space="preserve">  to 220KV Nurmehal .</t>
  </si>
  <si>
    <t>c)220 KV line bays</t>
  </si>
  <si>
    <t xml:space="preserve">2nos at Nurmehal+ 2 nos </t>
  </si>
  <si>
    <t>at 400KV Nakodar</t>
  </si>
  <si>
    <t>a)220KV Devigarh (U/G)</t>
  </si>
  <si>
    <t>1x100MVA.220/66KV t/f</t>
  </si>
  <si>
    <t xml:space="preserve">b) 220KV DC line from 400KV Rajpura to </t>
  </si>
  <si>
    <t xml:space="preserve">20Km (approx)/0.4Sq" </t>
  </si>
  <si>
    <t>evacuationof 400KV Rajpura.</t>
  </si>
  <si>
    <t>220KV Devigarh.</t>
  </si>
  <si>
    <t>c)220KV Bahadurgarh-Devigarh DC line</t>
  </si>
  <si>
    <t>15Km/0.4 DC on DC towers.</t>
  </si>
  <si>
    <t>d) 220KV line bays.</t>
  </si>
  <si>
    <t xml:space="preserve">2nos at Devigarh + 2 nos </t>
  </si>
  <si>
    <t>at 400KV Rajpura</t>
  </si>
  <si>
    <t>a)LILO of both the ckts.of 220 KV Patiala-</t>
  </si>
  <si>
    <t>25 Km/0.4Sq" DC on DC line</t>
  </si>
  <si>
    <t>Gobindgarh DC line at 400 KV Rajpura</t>
  </si>
  <si>
    <t xml:space="preserve">b)220 KV line bays </t>
  </si>
  <si>
    <t>4 Nos bays at 400 KV Rajpura</t>
  </si>
  <si>
    <t>__</t>
  </si>
  <si>
    <t>a)220KV DC line from 400KV Rajpura-</t>
  </si>
  <si>
    <t>20km (approx)/0.4Sq"</t>
  </si>
  <si>
    <t>220KV Lalru</t>
  </si>
  <si>
    <t>b) 220KV line bays</t>
  </si>
  <si>
    <t xml:space="preserve">2nos at Lalru + 2 nos </t>
  </si>
  <si>
    <t>ASR</t>
  </si>
  <si>
    <t>a)220KV Chogawan (U/G from 66 KV)</t>
  </si>
  <si>
    <t>Will provide relief to 220KV</t>
  </si>
  <si>
    <t>b)LILO of one ckt.of 220 KV Khassa-civil</t>
  </si>
  <si>
    <t xml:space="preserve">10Km (approx)/0.4Sq" </t>
  </si>
  <si>
    <t>Khassa/132 KV Naraingarh .</t>
  </si>
  <si>
    <t>line Amritsar DC line at Chogawan.</t>
  </si>
  <si>
    <t>c)220 KV  line bays</t>
  </si>
  <si>
    <t>2 No bays</t>
  </si>
  <si>
    <t>a)220KV Chohla Sahiib  (U/G from 66 KV)</t>
  </si>
  <si>
    <t>b)LILO of one ckt.of 220 KV sultanpur-</t>
  </si>
  <si>
    <t xml:space="preserve">1Km (approx)/0.4Sq" </t>
  </si>
  <si>
    <t>Patti and  Sultanpur .</t>
  </si>
  <si>
    <t>Patti DC line at 220 KV Chohla Sahib.</t>
  </si>
  <si>
    <t>2 Nos.</t>
  </si>
  <si>
    <t>a)220KV Passiana (U/G from 66 KV)</t>
  </si>
  <si>
    <t>b)LILO of one ckt.of 220 KV Patiala-</t>
  </si>
  <si>
    <t xml:space="preserve">5Km (approx)/0.4Sq" </t>
  </si>
  <si>
    <t>Ablowal.</t>
  </si>
  <si>
    <t>Patran at 220 KV Passiana</t>
  </si>
  <si>
    <t>a)220KV Banur (U/G from 66 KV)</t>
  </si>
  <si>
    <t>b)LILO of one ckt.of 220 KV Rajpura-</t>
  </si>
  <si>
    <t>Dera Bassi &amp; Rajpura</t>
  </si>
  <si>
    <t>Mohali -I DC line at 220 KV Banur.</t>
  </si>
  <si>
    <t>a)220KV Kakrala (U/G from 66 KV)</t>
  </si>
  <si>
    <t>b)LILO of one ckt.of 220 KV  Patran</t>
  </si>
  <si>
    <t xml:space="preserve">2Km (approx)/0.4Sq" </t>
  </si>
  <si>
    <t xml:space="preserve">Patran &amp; Rajla </t>
  </si>
  <si>
    <t>Rajla at 220 KV Kakrala</t>
  </si>
  <si>
    <t>MOH</t>
  </si>
  <si>
    <t>220 KV Lalru (Aug)</t>
  </si>
  <si>
    <t>2nd 1x100 MVA .220/66 KV t/f</t>
  </si>
  <si>
    <t xml:space="preserve">Will take care of additional </t>
  </si>
  <si>
    <t>1x100 MVA .220/66 KV</t>
  </si>
  <si>
    <t xml:space="preserve">load growth as well as </t>
  </si>
  <si>
    <t xml:space="preserve">provide relief to 220 KV </t>
  </si>
  <si>
    <t>Dera Bassi</t>
  </si>
  <si>
    <t>220 KV Mohali (New) (Aug)</t>
  </si>
  <si>
    <t>To take care of additional load</t>
  </si>
  <si>
    <t>growth of area.</t>
  </si>
  <si>
    <t>220 KV Civil line Amritsar (Aug)</t>
  </si>
  <si>
    <t>2nd 1x100 MVA .220/132 KV t/f</t>
  </si>
  <si>
    <t xml:space="preserve">To take care of additional </t>
  </si>
  <si>
    <t>1x100 MVA .220/132 KV</t>
  </si>
  <si>
    <t>load growth of area.</t>
  </si>
  <si>
    <t>BTD</t>
  </si>
  <si>
    <t>a)220 KV Talwandi Sabo (U/G from 66kV)</t>
  </si>
  <si>
    <t xml:space="preserve">1x100 MVA 220/66 KV </t>
  </si>
  <si>
    <t>To control/mimimize the over</t>
  </si>
  <si>
    <t>b)LILO of one ckt. of 220 KV GHTP-</t>
  </si>
  <si>
    <t>35 Km/0.4Sq" (appx)</t>
  </si>
  <si>
    <t>loading of 132 KV GNDTP-</t>
  </si>
  <si>
    <t>Mansa at Talwandi Sabo.</t>
  </si>
  <si>
    <t>Baluana and GNDTP-IGC-Maur</t>
  </si>
  <si>
    <t>2 No.</t>
  </si>
  <si>
    <t>links.</t>
  </si>
  <si>
    <t>a)220kV Badal (U/G from 132 KV)</t>
  </si>
  <si>
    <t xml:space="preserve">         &lt;------do-------&gt;</t>
  </si>
  <si>
    <t xml:space="preserve">b)LILO  of 220 KV Malout-GNDTP </t>
  </si>
  <si>
    <t>30Km/0.4Sq" (appx)</t>
  </si>
  <si>
    <t>Bathinda line at Badal</t>
  </si>
  <si>
    <t>4 No</t>
  </si>
  <si>
    <t>a)220 KV Badshahpur (U/G from 66 KV)</t>
  </si>
  <si>
    <t>To give relief to 220 KV Jamsher</t>
  </si>
  <si>
    <t xml:space="preserve">b)LILO  of one ckt of Jamsher-Sultanpur </t>
  </si>
  <si>
    <t xml:space="preserve">2.5Km (appx) /0.4Sq" </t>
  </si>
  <si>
    <t>line at Badshahpur</t>
  </si>
  <si>
    <t>2No</t>
  </si>
  <si>
    <t>a)220 KV Dhanaula  (U/G from 66 KV)</t>
  </si>
  <si>
    <t xml:space="preserve">1x100 MVA. 220/66 KV </t>
  </si>
  <si>
    <t xml:space="preserve">To provide relief to 220 KV </t>
  </si>
  <si>
    <t xml:space="preserve">b)LILO  of 220 KV Barnala-Sangrur </t>
  </si>
  <si>
    <t xml:space="preserve">10Km (appx)/0.4Sq" </t>
  </si>
  <si>
    <t>Barnala and Sangrur.</t>
  </si>
  <si>
    <t>SC line at Dhanaula</t>
  </si>
  <si>
    <t>2 No</t>
  </si>
  <si>
    <t>220KV Khassa (Aug)</t>
  </si>
  <si>
    <t>2nd 100 MVA.220/66KV</t>
  </si>
  <si>
    <t xml:space="preserve">To take care of load growth of </t>
  </si>
  <si>
    <t xml:space="preserve">1x100MVA .220/66 KV </t>
  </si>
  <si>
    <t>the area .</t>
  </si>
  <si>
    <t>220 KV Kotla Jangan (Nakodar) (Aug)</t>
  </si>
  <si>
    <t xml:space="preserve">1x100 MVA.220/66 KV </t>
  </si>
  <si>
    <t>220 KV DC line from 400KV Makhu --</t>
  </si>
  <si>
    <t xml:space="preserve">Work related with evacuation </t>
  </si>
  <si>
    <t xml:space="preserve">220 KV Algaon </t>
  </si>
  <si>
    <t>from 400 KV Makhu</t>
  </si>
  <si>
    <t>a)220kV Dasuya (switching Station) (Aug)</t>
  </si>
  <si>
    <t xml:space="preserve"> 1x100 MVA.220/66KV</t>
  </si>
  <si>
    <t>To minimize the low voltage</t>
  </si>
  <si>
    <t>b) 220kV bays (Aug)</t>
  </si>
  <si>
    <t>1 No.</t>
  </si>
  <si>
    <t>problem at 132kv bus Mukerian</t>
  </si>
  <si>
    <t>c) Gantary structure (220kV &amp;66kV )</t>
  </si>
  <si>
    <t>L.S</t>
  </si>
  <si>
    <t>GDS</t>
  </si>
  <si>
    <t>220kV  Wadala Granthain (Aug)</t>
  </si>
  <si>
    <t>To take care of load growth of</t>
  </si>
  <si>
    <t>the area</t>
  </si>
  <si>
    <t>220kV Dhuri(Aug)</t>
  </si>
  <si>
    <t>3rd 100 MVA.220/66KV</t>
  </si>
  <si>
    <t xml:space="preserve">  --------do----------</t>
  </si>
  <si>
    <t xml:space="preserve">2x100 MVA.220/66 KV </t>
  </si>
  <si>
    <t>220kV Sadiq(Aug)</t>
  </si>
  <si>
    <t>KHN</t>
  </si>
  <si>
    <t>a)220kV Ikolaha (U/G)</t>
  </si>
  <si>
    <t xml:space="preserve"> ---------do-----------</t>
  </si>
  <si>
    <t>b) LILO of 220kV Malerkotla-</t>
  </si>
  <si>
    <t>15Km/0.4Sq"</t>
  </si>
  <si>
    <t>Gobindgarh-I SC Line at Ikolaha</t>
  </si>
  <si>
    <t xml:space="preserve">cost  of bays included in the </t>
  </si>
  <si>
    <t>c) 220kV bays</t>
  </si>
  <si>
    <t>2No.</t>
  </si>
  <si>
    <t>cost  of S/S.</t>
  </si>
  <si>
    <t>RPR</t>
  </si>
  <si>
    <t>a)220kV Gaunsgarh( U/G)</t>
  </si>
  <si>
    <t xml:space="preserve"> To take care of load growth of</t>
  </si>
  <si>
    <t>b) LILO of 220kV GGSSTP-</t>
  </si>
  <si>
    <t>30Km/0.4Sq"</t>
  </si>
  <si>
    <t xml:space="preserve"> the area</t>
  </si>
  <si>
    <t>Kohara SC Line at Gaunsgarh</t>
  </si>
  <si>
    <t>a) 220kV Kotlisurat Malhi (Aug)</t>
  </si>
  <si>
    <t>a) 220kV Taran Tarn (Aug)</t>
  </si>
  <si>
    <t xml:space="preserve">  ------------do---------------</t>
  </si>
  <si>
    <t xml:space="preserve">                 Total of 220 KV works</t>
  </si>
  <si>
    <t xml:space="preserve">               Est. Charges @ 20%</t>
  </si>
  <si>
    <t>Est. Cost</t>
  </si>
  <si>
    <t>Rs in Lacks</t>
  </si>
  <si>
    <t>Funds from REC</t>
  </si>
  <si>
    <t>Exp. Incurred upto 3/2010</t>
  </si>
  <si>
    <t>Funds Required for 2010-11</t>
  </si>
  <si>
    <t>To be arranged by PSTCL</t>
  </si>
  <si>
    <t xml:space="preserve">Transmission Work List for the year 2010-11 </t>
  </si>
  <si>
    <t>Annexure-A</t>
  </si>
  <si>
    <t>LDH</t>
  </si>
  <si>
    <t xml:space="preserve">a) LILO of one ckt.of existing </t>
  </si>
  <si>
    <t>1x2KM(Appx)0.5 Sq"</t>
  </si>
  <si>
    <t>REC Scheme No.161416</t>
  </si>
  <si>
    <t xml:space="preserve"> Lalton Kalan- Sahnewal, DC line  </t>
  </si>
  <si>
    <t xml:space="preserve">For evacuation of power from 400 KV </t>
  </si>
  <si>
    <t xml:space="preserve">  at 400KV PGCIL Ludhiana.</t>
  </si>
  <si>
    <t xml:space="preserve">S/Stn,Ludhiana and to minimize fault level at  </t>
  </si>
  <si>
    <t>b) LILO of one Ckt.of existing 220 KV Lalton</t>
  </si>
  <si>
    <t xml:space="preserve">According to the scope </t>
  </si>
  <si>
    <t>220 KV bus at Lalton Kalan.</t>
  </si>
  <si>
    <t xml:space="preserve">Kalan-Dhandari Kalan at 400 KV PGCIL </t>
  </si>
  <si>
    <t>sent by EIC/TL vide</t>
  </si>
  <si>
    <t>Ludhiana and Diversion of</t>
  </si>
  <si>
    <t xml:space="preserve">his office endst.No. </t>
  </si>
  <si>
    <t xml:space="preserve"> 220 KV Lalton Kalan-Malerkotla</t>
  </si>
  <si>
    <t>1980 dt.8.12.09</t>
  </si>
  <si>
    <t>line to 400 KV PGCIL Ludhiana.</t>
  </si>
  <si>
    <t>c) 220 KV bay (at 400 KV PGCIL Ludhiana)</t>
  </si>
  <si>
    <t>5No.</t>
  </si>
  <si>
    <t xml:space="preserve">(Cost of bay is included in the above </t>
  </si>
  <si>
    <t>estimated  cost (Rs.155 lac)</t>
  </si>
  <si>
    <t xml:space="preserve">a)220KV FZR Road, LDH  </t>
  </si>
  <si>
    <t xml:space="preserve">1x100MVA, 220/66KV </t>
  </si>
  <si>
    <t>REC Scheme No.161373</t>
  </si>
  <si>
    <t>(U/G from 66KV)</t>
  </si>
  <si>
    <t xml:space="preserve">With these changes works at Sr.no.18 &amp;19 of </t>
  </si>
  <si>
    <t>b)LILO of 220KV Lalton Kalan-Humbran S/C</t>
  </si>
  <si>
    <t xml:space="preserve">9.25KM/0.4 Sq." on </t>
  </si>
  <si>
    <t xml:space="preserve">Central Zone of Ann.B 2008-09 will be </t>
  </si>
  <si>
    <t xml:space="preserve"> line at 220KV FZR Rd, LDH  (by using ROW</t>
  </si>
  <si>
    <t>DC</t>
  </si>
  <si>
    <t xml:space="preserve">deleted which were included as per planned </t>
  </si>
  <si>
    <t>of existing 132KV Jamalpur -Moga ckt-II)</t>
  </si>
  <si>
    <t xml:space="preserve">scope of 220KV feeding line for 220KV FZR  </t>
  </si>
  <si>
    <t>c)220KV line bays</t>
  </si>
  <si>
    <t>Rd.for which Humbran-FZR Rd.line</t>
  </si>
  <si>
    <t>d)Shifting &amp;replacing a portion of 132kV Moga-</t>
  </si>
  <si>
    <t xml:space="preserve">I) 7 Km/0.2 Sq" on </t>
  </si>
  <si>
    <t>was to be utilised by upgrading the same.</t>
  </si>
  <si>
    <t>Jamalpur ckt-II by erecting  a new</t>
  </si>
  <si>
    <t>DC Towers</t>
  </si>
  <si>
    <t>132kV DC line by using ROW of existing</t>
  </si>
  <si>
    <t>Moga-Jamalpur ckt-I &amp;</t>
  </si>
  <si>
    <t>ii) (0.305+0.160)Km</t>
  </si>
  <si>
    <t xml:space="preserve">joining these two new ckts with existing </t>
  </si>
  <si>
    <t xml:space="preserve">/0.2Sq" SC on DC </t>
  </si>
  <si>
    <t>ckt-I &amp; II of 132kV Moga-Jamalpur line.</t>
  </si>
  <si>
    <t>towers</t>
  </si>
  <si>
    <t>a)220 KV S/S Malout (New)</t>
  </si>
  <si>
    <t>1x100 MVA, 220/66 KV</t>
  </si>
  <si>
    <t xml:space="preserve">REC Scheme No.161415.To give relief </t>
  </si>
  <si>
    <t>b)LILO of one ckt of 220 KV Mukatsar- BTD</t>
  </si>
  <si>
    <t>32 KM/0.4 sq "</t>
  </si>
  <si>
    <t>to 132 KV Mukatsar-Malout lfine. Work</t>
  </si>
  <si>
    <t>DC lline at 220 KV Malout</t>
  </si>
  <si>
    <t xml:space="preserve"> proposed in lieu of 220 KV Mukatsar-Abohar</t>
  </si>
  <si>
    <t xml:space="preserve">2 Nos.(cost of one bay </t>
  </si>
  <si>
    <t xml:space="preserve"> SC on DC line.</t>
  </si>
  <si>
    <t>included in 3(a)</t>
  </si>
  <si>
    <t>FZR</t>
  </si>
  <si>
    <t>a)220 KV Mastewale (New)</t>
  </si>
  <si>
    <t>REC Scheme No.161423.Cost of bays</t>
  </si>
  <si>
    <t xml:space="preserve">b)220 KV Botianwala-220 KV Mastewala  </t>
  </si>
  <si>
    <t>10 KM/0.4 Sq"</t>
  </si>
  <si>
    <t xml:space="preserve"> included in the estimated cost of S/Stn </t>
  </si>
  <si>
    <t>SC on DC line</t>
  </si>
  <si>
    <t xml:space="preserve">c)220 KV line bays </t>
  </si>
  <si>
    <t xml:space="preserve">a)220KV Focal Point, Nabha  </t>
  </si>
  <si>
    <t xml:space="preserve">For evacuation of power from 400KV Phagan </t>
  </si>
  <si>
    <t xml:space="preserve">b)220KV Focal Point, Nabha -400 KV  </t>
  </si>
  <si>
    <t>32.604KM/0.4 Sq"</t>
  </si>
  <si>
    <t xml:space="preserve">Majra (PTA) to provide relief to 220KV </t>
  </si>
  <si>
    <t>Phagan Majra DC line.</t>
  </si>
  <si>
    <t>DC on DC tower</t>
  </si>
  <si>
    <t xml:space="preserve">Ablowal and to reduce line losses. Initally </t>
  </si>
  <si>
    <t>c)220KV line bays at Nabha end.</t>
  </si>
  <si>
    <t xml:space="preserve">one ckt. is to be commissioned. Spillover work. </t>
  </si>
  <si>
    <t xml:space="preserve">a)220KV S/S Pakhowal </t>
  </si>
  <si>
    <t>1x100MVA,220/66KV</t>
  </si>
  <si>
    <t>REC Scheme No.161222</t>
  </si>
  <si>
    <t xml:space="preserve">To give relief to  fully loaded 220KV S/Stns </t>
  </si>
  <si>
    <t xml:space="preserve">b)LILO of 220KV Malerkotla- </t>
  </si>
  <si>
    <t>2KM/0.4 Sq"</t>
  </si>
  <si>
    <t xml:space="preserve">Lalton Kalan &amp; Malerkotla.Initially the 66KV </t>
  </si>
  <si>
    <t>Lalton Kalan SC line at Pakhowal.</t>
  </si>
  <si>
    <t xml:space="preserve">loads of Narangwal, Pakhowal, Latala &amp; </t>
  </si>
  <si>
    <t>Ahmedgarh to be put. Spillover Work</t>
  </si>
  <si>
    <t>included in 6(a)</t>
  </si>
  <si>
    <t>a)220KV Doraha  (U/G from 132KV)</t>
  </si>
  <si>
    <t xml:space="preserve">1x100MVA,220/66KV </t>
  </si>
  <si>
    <t>5 Nos.</t>
  </si>
  <si>
    <t xml:space="preserve">For Evacuation of power from 400KV S/S  </t>
  </si>
  <si>
    <t>c)220KV Sahnewal-Doraha SC line</t>
  </si>
  <si>
    <t>6 KM/0.4sq''</t>
  </si>
  <si>
    <t xml:space="preserve">PGCIL,LDH and to feed 66KV S/S Chawa, </t>
  </si>
  <si>
    <t xml:space="preserve">d)400KV Ludhiana-220KV Doraha SC </t>
  </si>
  <si>
    <t>18 KM/0.4sq''</t>
  </si>
  <si>
    <t xml:space="preserve">Payal, Bahumajra,Apparell park (New), M/s </t>
  </si>
  <si>
    <t xml:space="preserve"> on DC Tower.</t>
  </si>
  <si>
    <t xml:space="preserve">Stilco Stripes and all other upcoming load </t>
  </si>
  <si>
    <t>220KV Kohara (Aug)</t>
  </si>
  <si>
    <t>___</t>
  </si>
  <si>
    <t>(2nd T/F)</t>
  </si>
  <si>
    <t>a)220 KV Kapurthala/Kanjali (New)</t>
  </si>
  <si>
    <t>REC Scheme No.161423.</t>
  </si>
  <si>
    <t xml:space="preserve">b)220 KV KPT -400 KV Jalandhar SC on </t>
  </si>
  <si>
    <t>15 KM / 0.4 sq "</t>
  </si>
  <si>
    <t>To give relief to 220 KV S/S Sultanpur Lodhi</t>
  </si>
  <si>
    <t>DC  line.</t>
  </si>
  <si>
    <t xml:space="preserve"> 33 KV S/S (7 no.) presently being fed from </t>
  </si>
  <si>
    <t xml:space="preserve">132 KV S/S Kapurthala. Cost of 1 No.bay </t>
  </si>
  <si>
    <t>Included in 9(a)</t>
  </si>
  <si>
    <t>included in the estimated cost of  S/S.</t>
  </si>
  <si>
    <t>a)220KV S/S  Algaon (U/G from 66KV)</t>
  </si>
  <si>
    <t>REC Scheme No.161423</t>
  </si>
  <si>
    <t>b)220KV Patti-Algaon SC on DC line</t>
  </si>
  <si>
    <t>20KM/0.4 Sq"</t>
  </si>
  <si>
    <t xml:space="preserve">To give relief to 132KV SC Patti-Bhikhiwind </t>
  </si>
  <si>
    <t xml:space="preserve">overloaded line.To give supply as per PSEB  </t>
  </si>
  <si>
    <t>instructions being Border Area.</t>
  </si>
  <si>
    <t>GDSP</t>
  </si>
  <si>
    <t xml:space="preserve">a)220KV Sarna-Kotli Surat Malli SC on </t>
  </si>
  <si>
    <t>61.37KM/0.4 Sq"</t>
  </si>
  <si>
    <t>REC Scheme No.161416.</t>
  </si>
  <si>
    <t xml:space="preserve"> DC towers.</t>
  </si>
  <si>
    <t>Spill over work.</t>
  </si>
  <si>
    <t>220KV Sahnewal (Aug)</t>
  </si>
  <si>
    <t xml:space="preserve">Addl.1x100MVA, </t>
  </si>
  <si>
    <t xml:space="preserve">To give relief to 220KV Dhandari Kalan-I &amp; </t>
  </si>
  <si>
    <t>220/66KV(3rd T/F)</t>
  </si>
  <si>
    <t>DhandariKalan-II. REC under sanction</t>
  </si>
  <si>
    <t>a)220KV Lalru (U/G)</t>
  </si>
  <si>
    <t>1x100MVA, 220/66KV</t>
  </si>
  <si>
    <t>To give relief to 220KVDera Bassi.</t>
  </si>
  <si>
    <t>b)LILO of existing 220 KV Mohali-</t>
  </si>
  <si>
    <t xml:space="preserve">17.17Km(approx.)/0.4sq"  </t>
  </si>
  <si>
    <t>Cost of 1 no.bays included in cost of S/Stn.</t>
  </si>
  <si>
    <t xml:space="preserve">DeraBassi line at Lalru </t>
  </si>
  <si>
    <t>DC on DC towers</t>
  </si>
  <si>
    <t>Work shifted from Ann.C to Ann. A</t>
  </si>
  <si>
    <t>REC under sanction</t>
  </si>
  <si>
    <t>included in 13(a)</t>
  </si>
  <si>
    <t>a)220KV S/S Bassi Pathana(U/G)</t>
  </si>
  <si>
    <t xml:space="preserve">To give relief to 220KV Gobindgarh-I where </t>
  </si>
  <si>
    <t>b)LILO of one ckt. of 220KV GGSSTP-</t>
  </si>
  <si>
    <t>10KM/0.4 Sq.inch</t>
  </si>
  <si>
    <t>new Industrial/Bulk Loads are coming up and</t>
  </si>
  <si>
    <t>Gobindgarh-I 2xDC line for Bassi Pathana</t>
  </si>
  <si>
    <t xml:space="preserve"> for improvement in service voltage and </t>
  </si>
  <si>
    <t>2 Nos.(cost of one bay</t>
  </si>
  <si>
    <t xml:space="preserve">reduction in line losses . Already covered </t>
  </si>
  <si>
    <t>included in 14(a)</t>
  </si>
  <si>
    <t xml:space="preserve">as preliminary work in the Transmission  </t>
  </si>
  <si>
    <t>works list of 2006-07</t>
  </si>
  <si>
    <t>To be covered under REC Scheme</t>
  </si>
  <si>
    <t>Site changed due to nonavailability of land</t>
  </si>
  <si>
    <t>a)220KV S/S Jhunir (U/G)</t>
  </si>
  <si>
    <t>Cost of 2 Nos.bays included in S/Stn cost.</t>
  </si>
  <si>
    <t>b) LILO of one Ckt of 220KV Mansa -</t>
  </si>
  <si>
    <t>36 Km/0.4Sq"</t>
  </si>
  <si>
    <t xml:space="preserve"> Sunam at 220KV Jhunir </t>
  </si>
  <si>
    <t>c) 220KV Line Bays</t>
  </si>
  <si>
    <t>a)220KV S/S Malerkotla (Aug)</t>
  </si>
  <si>
    <t xml:space="preserve">Addl.1x100MVA,  </t>
  </si>
  <si>
    <t>For evacuation of additional Power from 400KV Malerkotla.</t>
  </si>
  <si>
    <t>2x100MVA,220/66KV T/F</t>
  </si>
  <si>
    <t xml:space="preserve">220/66KVT/F (3rd.T/F) </t>
  </si>
  <si>
    <t xml:space="preserve">b)Replacement of existing  (0.4 sq")  </t>
  </si>
  <si>
    <t xml:space="preserve">0.3km/0.5Sq" DC on DC </t>
  </si>
  <si>
    <t>Conductor of 400 KV  PGCIL Malerkotla-</t>
  </si>
  <si>
    <t>towers.</t>
  </si>
  <si>
    <t xml:space="preserve">220KV Malerkotla line with </t>
  </si>
  <si>
    <t>0.5 Sq" of appx length 0.3km.</t>
  </si>
  <si>
    <t xml:space="preserve">c) 400KV S/S Malerkotla  PGCIL-220KV </t>
  </si>
  <si>
    <t xml:space="preserve"> S/S Malerkotla DC line(new Addl. Link)</t>
  </si>
  <si>
    <t>towers (new)</t>
  </si>
  <si>
    <t>d)2No.220KV bay at 220KV Malerkotla.</t>
  </si>
  <si>
    <t xml:space="preserve">cost of one bay included in </t>
  </si>
  <si>
    <t>16(a)</t>
  </si>
  <si>
    <t>a)220KV Mehal Kalan (New)</t>
  </si>
  <si>
    <t>b)220KV Pakhowal - Mehal Kalan SC on  DC line</t>
  </si>
  <si>
    <t>25KM/0.4 Sq"</t>
  </si>
  <si>
    <t>To provide relief to 220 KV Barnala.</t>
  </si>
  <si>
    <t>included in 17 (a)</t>
  </si>
  <si>
    <t>HSP</t>
  </si>
  <si>
    <t>a)220KV Rehana Jattan(U/G from 66KV)</t>
  </si>
  <si>
    <t>b)LILO of one ckt of 220KV Jamsher-Mahilpur</t>
  </si>
  <si>
    <t>1.5km/0.4Sq"</t>
  </si>
  <si>
    <t xml:space="preserve">To provide relief to 220 KV Mahilpur and </t>
  </si>
  <si>
    <t xml:space="preserve"> Mahilpur at 220KV Rehana</t>
  </si>
  <si>
    <t>BBMB Jalandhar.</t>
  </si>
  <si>
    <t xml:space="preserve">c)220KV line from 400KV Nakodar-220KV </t>
  </si>
  <si>
    <t>35km/0.4Sq" DC on DC</t>
  </si>
  <si>
    <t>Rehana Jattan DC line</t>
  </si>
  <si>
    <t>4Nos.</t>
  </si>
  <si>
    <t xml:space="preserve">220KV S/S Gobaya(Aug)                                (1x50+1x100) MVA 220/66KV     </t>
  </si>
  <si>
    <t>Repl.of existing 50MVA 220/66Addl.T/F with 1x100MVA, 220/66KV T/F</t>
  </si>
  <si>
    <t xml:space="preserve">220KV S/S Bottianwala(Aug)             </t>
  </si>
  <si>
    <t>Addl.T/F1x100MVA, 220/66KV</t>
  </si>
  <si>
    <t xml:space="preserve"> 1x100MVA 220/66KV</t>
  </si>
  <si>
    <t xml:space="preserve">220KV S/S Patran(Aug)                       </t>
  </si>
  <si>
    <t xml:space="preserve"> 2x100MVA 220/66KV</t>
  </si>
  <si>
    <t>220KV S/S Civil line ASR.(Aug.)                    1x100MVA,220/66KV</t>
  </si>
  <si>
    <t xml:space="preserve">Addl.T/F1x100MVA, 220/66KV </t>
  </si>
  <si>
    <t xml:space="preserve">a)220 KV Goindwal Sahib-220 KV </t>
  </si>
  <si>
    <t>60 Km/0.4Sq" Appx.</t>
  </si>
  <si>
    <t>Khassa  DC line</t>
  </si>
  <si>
    <t>DC on DC tower Appx.</t>
  </si>
  <si>
    <t xml:space="preserve">b) 220 KV line bays </t>
  </si>
  <si>
    <t xml:space="preserve">2+2Nos.(2 Nos bays are </t>
  </si>
  <si>
    <t>in GVK scope.</t>
  </si>
  <si>
    <t>20Km/0.4Sq" DC on DC</t>
  </si>
  <si>
    <t xml:space="preserve">Sultanpur DC line </t>
  </si>
  <si>
    <t>towers Appx.</t>
  </si>
  <si>
    <t>b) 220 KV line bays</t>
  </si>
  <si>
    <t xml:space="preserve">2+2 Nos (2 No.bays are in </t>
  </si>
  <si>
    <t>GVK scope.</t>
  </si>
  <si>
    <t>40Km/0.4Sq" DC on DC</t>
  </si>
  <si>
    <t xml:space="preserve"> BotianwalaDC line </t>
  </si>
  <si>
    <t>2+2 Nos (2 No bays are in</t>
  </si>
  <si>
    <t>a)220 K.V.Gobindgarh-4( New)</t>
  </si>
  <si>
    <t>1x100MVA 220/66 KV t/f</t>
  </si>
  <si>
    <t xml:space="preserve">In the premises of existing </t>
  </si>
  <si>
    <t>220 KV,Gobindgarh-1</t>
  </si>
  <si>
    <t xml:space="preserve">b)i)220KV new duble bus bar  </t>
  </si>
  <si>
    <t>(LS)</t>
  </si>
  <si>
    <t>(including gantary</t>
  </si>
  <si>
    <t xml:space="preserve"> structure, conductor suspension </t>
  </si>
  <si>
    <t>disc etc.</t>
  </si>
  <si>
    <t xml:space="preserve">ii) 66KV new duble bus bar  </t>
  </si>
  <si>
    <t>(including gantary stucture ,</t>
  </si>
  <si>
    <t xml:space="preserve"> concuctor suspension disc etc )</t>
  </si>
  <si>
    <t>c) 220 KV bay (one transfarmer</t>
  </si>
  <si>
    <t>disc etc. bay+one buscoupler bay)</t>
  </si>
  <si>
    <t>d)66KV bay )</t>
  </si>
  <si>
    <t>(4Nos.line bay+one No.t/f bay</t>
  </si>
  <si>
    <t xml:space="preserve">e) 20 MVA 66/11KV t/f </t>
  </si>
  <si>
    <t>220KV BajaKhana (Aug)</t>
  </si>
  <si>
    <t xml:space="preserve">2nd Addl 1x100MVA </t>
  </si>
  <si>
    <t>1x100MVA 220/66KV T/f</t>
  </si>
  <si>
    <t>220/66 KV t/f</t>
  </si>
  <si>
    <t>220KV Khassa (Replacement)</t>
  </si>
  <si>
    <t xml:space="preserve">Existing 1x100MVA </t>
  </si>
  <si>
    <t>1)This 100MVA,220/66KV t/f shall be taken</t>
  </si>
  <si>
    <t>220/66KV t/f Replaced with</t>
  </si>
  <si>
    <t xml:space="preserve"> from the fresh supply and is to be replaced</t>
  </si>
  <si>
    <t>new 100 MVA, 220/66KV</t>
  </si>
  <si>
    <t xml:space="preserve"> with existing transformer at 220KV Khassa</t>
  </si>
  <si>
    <t xml:space="preserve"> on priority basis.</t>
  </si>
  <si>
    <t xml:space="preserve">2)The existing 100MVA,220/66KV t/f </t>
  </si>
  <si>
    <t>shall be taken out, will be</t>
  </si>
  <si>
    <t xml:space="preserve">got checked and shall be repaired under </t>
  </si>
  <si>
    <t>capital maintenance</t>
  </si>
  <si>
    <t xml:space="preserve">expenditure. After that it shall be kept spare   </t>
  </si>
  <si>
    <t>forsome othergrid under planned works.</t>
  </si>
  <si>
    <t>3)Initially Rs.868 lac (as cost of new t/f )</t>
  </si>
  <si>
    <t>shall be booked to the</t>
  </si>
  <si>
    <t>Revenue Head of 220 KV Khassa and</t>
  </si>
  <si>
    <t xml:space="preserve"> later on (after the repair</t>
  </si>
  <si>
    <t>of t/f) it shall be regularised on actual</t>
  </si>
  <si>
    <t xml:space="preserve"> basis estimates and </t>
  </si>
  <si>
    <t xml:space="preserve">finally this expenditure shall be booked to </t>
  </si>
  <si>
    <t>220 KV Khassa grid.</t>
  </si>
  <si>
    <t>a)220 KV Kartarpur 2x100 MVA,220/66KV</t>
  </si>
  <si>
    <t>1x100 MVA</t>
  </si>
  <si>
    <t xml:space="preserve">This work is included to give relief to </t>
  </si>
  <si>
    <t>b)220 KV line bay one No.(Aug)</t>
  </si>
  <si>
    <t>220/132 KV T/F 1No.</t>
  </si>
  <si>
    <t>132 KV System  of Jalandhar &amp; Kapurthala</t>
  </si>
  <si>
    <t>c)132 KV line bay 2No</t>
  </si>
  <si>
    <t xml:space="preserve"> area which further  will give relief to 220 KV</t>
  </si>
  <si>
    <t xml:space="preserve">d)extention of 220 KV and </t>
  </si>
  <si>
    <t xml:space="preserve"> BBMB Jalandhar.</t>
  </si>
  <si>
    <t>132 KV bus</t>
  </si>
  <si>
    <t>NWSR</t>
  </si>
  <si>
    <t>220 KV Goraya (Aug)</t>
  </si>
  <si>
    <t xml:space="preserve">1x100MVA,220/66KV to </t>
  </si>
  <si>
    <t>1x100MVA+1x50/75/100,220/132KV</t>
  </si>
  <si>
    <t>Rpl.1x50/75/100,220/132KV</t>
  </si>
  <si>
    <t>1x40/50MVA,132/66-33KV</t>
  </si>
  <si>
    <t>1x20/25MVA,132/33KV</t>
  </si>
  <si>
    <t>220kV Amloh(Aug)</t>
  </si>
  <si>
    <t>2nd 100 MVA.220/66KV T/F</t>
  </si>
  <si>
    <t>220 KV Butari (Aug)</t>
  </si>
  <si>
    <t>Till this work is completed any</t>
  </si>
  <si>
    <t xml:space="preserve"> 20/25 or 40/50 MVA.132/66KV </t>
  </si>
  <si>
    <t xml:space="preserve">t/f spared from the system can  </t>
  </si>
  <si>
    <t xml:space="preserve"> be utilized at 220KV Butari as a </t>
  </si>
  <si>
    <t>temporary arrangement.</t>
  </si>
  <si>
    <t xml:space="preserve">                      Total of 220 KV works</t>
  </si>
  <si>
    <t>Est. Charges @ 20%</t>
  </si>
  <si>
    <t>Note : Due to space constraints Right of Way problems of connecting lines and planning of some other alternative grid stations, following</t>
  </si>
  <si>
    <t xml:space="preserve"> transmission works are hereby deleted:-</t>
  </si>
  <si>
    <t>220 kv Lehreagaga (New) alongwith its associated 220 KV line .</t>
  </si>
  <si>
    <t>220 KV Naraingarh (U/G from 66 KV)alongwith its associated 220 KV line .</t>
  </si>
  <si>
    <t>Additional 100 MVA,220/66 KV T/F (i.e. 3rd.T/F) at 220 KV grid Bahadurgarh .</t>
  </si>
  <si>
    <t xml:space="preserve">Putting 1x100 MVA ,220/66KV spare T/F in circuit and keeping the existing 60MVA,220/66KV t/f as spare capacity at 220 KV Sangrur. </t>
  </si>
  <si>
    <t>5)</t>
  </si>
  <si>
    <t>Work at Sno.2(d) also stands deleted.</t>
  </si>
  <si>
    <t>Replacement of conductor of existing 132kV</t>
  </si>
  <si>
    <t>12Km/ 0.2Sq"</t>
  </si>
  <si>
    <t>Sultanpur Khera Mandir SC line with new</t>
  </si>
  <si>
    <t>one</t>
  </si>
  <si>
    <t>132kV Kotakpura (Aug)</t>
  </si>
  <si>
    <t>1x40/50 MVA, 132/66kV to</t>
  </si>
  <si>
    <t>Work is added to clear pending feasibilty case</t>
  </si>
  <si>
    <t>1x12.5/16 + 1x20/25 MVA 132/66 kV</t>
  </si>
  <si>
    <t>replace existing 1x12.5/16</t>
  </si>
  <si>
    <t>of Distt. Jail Faridkot.</t>
  </si>
  <si>
    <t xml:space="preserve">MVA, 132/66kV T/F </t>
  </si>
  <si>
    <t xml:space="preserve">1x 40/50 MVA 132/66 kV T/F has been spared </t>
  </si>
  <si>
    <t>S. No</t>
  </si>
  <si>
    <t>ANNUAL REVENUE REQUIREMENT FOR THE YEAR 2012-13</t>
  </si>
  <si>
    <t>Form Reference</t>
  </si>
  <si>
    <t>Details of Form</t>
  </si>
  <si>
    <t>Form F1</t>
  </si>
  <si>
    <t>Form F4</t>
  </si>
  <si>
    <t>Form F5</t>
  </si>
  <si>
    <t>Form F8</t>
  </si>
  <si>
    <t>Form F9</t>
  </si>
  <si>
    <t>Form F11</t>
  </si>
  <si>
    <t>Form F12</t>
  </si>
  <si>
    <t>Form F14</t>
  </si>
  <si>
    <t>Form F15</t>
  </si>
  <si>
    <t>Form F16</t>
  </si>
  <si>
    <t>Form F17</t>
  </si>
  <si>
    <t>Form F19</t>
  </si>
  <si>
    <t>Form F20</t>
  </si>
  <si>
    <t>Form F21</t>
  </si>
  <si>
    <t>Form F22</t>
  </si>
  <si>
    <t>Employee Expenses</t>
  </si>
  <si>
    <t>Repair &amp; Maintenance Expenses</t>
  </si>
  <si>
    <t>Administration &amp; General Expenses</t>
  </si>
  <si>
    <t>Expenses Capitalised</t>
  </si>
  <si>
    <t>Provision for Bad &amp; Doubtful Debts</t>
  </si>
  <si>
    <t>Consumer Contribution</t>
  </si>
  <si>
    <t>Interest &amp; Finance Charges</t>
  </si>
  <si>
    <t>Annual Revenue Requirement</t>
  </si>
  <si>
    <t>I</t>
  </si>
  <si>
    <t>II</t>
  </si>
  <si>
    <t>III</t>
  </si>
  <si>
    <t>Sub-total</t>
  </si>
  <si>
    <t>Previous Year (FY 2010-11)</t>
  </si>
  <si>
    <t>Last Year Petition</t>
  </si>
  <si>
    <t>Order</t>
  </si>
  <si>
    <t>Actuals</t>
  </si>
  <si>
    <t>Provisional Accounts</t>
  </si>
  <si>
    <t>Current Year (FY 2011-12)</t>
  </si>
  <si>
    <t>Projected</t>
  </si>
  <si>
    <t>Ensuing Year (FY 2012-13)</t>
  </si>
  <si>
    <t>Coloum Reference</t>
  </si>
  <si>
    <t>9=7+8</t>
  </si>
  <si>
    <t>The Commission allowed Terminal Benefits on the basis of actuals which includes Terminal benefits and Pension Payments.</t>
  </si>
  <si>
    <t>The Commission further deducted Rs. 6.69 Crore on account of high employee expenses</t>
  </si>
  <si>
    <t>The Commission did not consider any Arrears as per GoP notification the disbursement on account of arrears was not to be made in FY 2010-11.</t>
  </si>
  <si>
    <t>Actuals for H1</t>
  </si>
  <si>
    <t>Employee Cost</t>
  </si>
  <si>
    <t>Schedule-9</t>
  </si>
  <si>
    <t>16.04.2010 to 31.03.2011</t>
  </si>
  <si>
    <t>Accounting Code</t>
  </si>
  <si>
    <t>Salaries</t>
  </si>
  <si>
    <t>Overtime</t>
  </si>
  <si>
    <t>Dearness Allowance</t>
  </si>
  <si>
    <t>Other Allowances</t>
  </si>
  <si>
    <t>Bonus/ Generation Incentive</t>
  </si>
  <si>
    <t>Medical Expenses Reimbursement</t>
  </si>
  <si>
    <t>Leave Travel Assistance</t>
  </si>
  <si>
    <t>Earned Leave Encashment</t>
  </si>
  <si>
    <t>Payment under Workmen's compensayion Act</t>
  </si>
  <si>
    <t>Total other staff costs</t>
  </si>
  <si>
    <t>Staff Welfare Expenses</t>
  </si>
  <si>
    <t>75.641 to 653</t>
  </si>
  <si>
    <t>75.612 &amp; 613</t>
  </si>
  <si>
    <t>75.629-631</t>
  </si>
  <si>
    <t>Salaries &amp; Allowances</t>
  </si>
  <si>
    <t>Other Expenses Capitalised</t>
  </si>
  <si>
    <t>Schedule-14</t>
  </si>
  <si>
    <t>Capitalisation of cost of generation during trial stage</t>
  </si>
  <si>
    <t>Repair and Maintenance</t>
  </si>
  <si>
    <t>Employee Costs</t>
  </si>
  <si>
    <t>A &amp; G Expenses</t>
  </si>
  <si>
    <t>Depreciation &amp; Related Cost</t>
  </si>
  <si>
    <t>Any Other Expenses*</t>
  </si>
  <si>
    <t>Repair &amp; Maintenance</t>
  </si>
  <si>
    <t>Schedule-8</t>
  </si>
  <si>
    <t>Plant and Machinery</t>
  </si>
  <si>
    <t>Buildings</t>
  </si>
  <si>
    <t>Civil Works</t>
  </si>
  <si>
    <t>Hydraulic Works</t>
  </si>
  <si>
    <t>Lines Cable &amp; Network etc.</t>
  </si>
  <si>
    <t>Furniture and Fixtures</t>
  </si>
  <si>
    <t>Office Equipment</t>
  </si>
  <si>
    <t>Schedule-10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</si>
  <si>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</si>
  <si>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</si>
  <si>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</si>
  <si>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</si>
  <si>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</si>
  <si>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</si>
  <si>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</si>
  <si>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</si>
  <si>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</si>
  <si>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</si>
  <si>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</si>
  <si>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</si>
  <si>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</si>
  <si>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</si>
  <si>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</si>
  <si>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</si>
  <si>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</si>
  <si>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</si>
  <si>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</si>
  <si>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</si>
  <si>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</si>
  <si>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</si>
  <si>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</si>
  <si>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Rents, Rates &amp; Taxes</t>
  </si>
  <si>
    <t>Telephone, Postage and Telex</t>
  </si>
  <si>
    <t>Sattelite Charges</t>
  </si>
  <si>
    <t>Legal Charges</t>
  </si>
  <si>
    <t>Audit Fees</t>
  </si>
  <si>
    <t>Consultancy charges</t>
  </si>
  <si>
    <t>Technical Fees</t>
  </si>
  <si>
    <t>Trusteeship charges</t>
  </si>
  <si>
    <t>Credit Rating Charges</t>
  </si>
  <si>
    <t>Conveyance &amp; Travel Charges</t>
  </si>
  <si>
    <t>Other Expenses</t>
  </si>
  <si>
    <t>Fees &amp; Subsciption</t>
  </si>
  <si>
    <t>Books &amp; Periodicals</t>
  </si>
  <si>
    <t>Printing &amp; Stationery</t>
  </si>
  <si>
    <t>Computer time hire cost</t>
  </si>
  <si>
    <t>Advertisement</t>
  </si>
  <si>
    <t>Donations</t>
  </si>
  <si>
    <t>Electricity Charges</t>
  </si>
  <si>
    <t>Water charges</t>
  </si>
  <si>
    <t>Revenue stamps for affixing on receipts</t>
  </si>
  <si>
    <t>Meter Reading and Bill distribution expenses</t>
  </si>
  <si>
    <t>Expenses on training of UDC/ LDC/ Others</t>
  </si>
  <si>
    <t>Free electricity to religious places</t>
  </si>
  <si>
    <t>Entertainment</t>
  </si>
  <si>
    <t>Hospitality</t>
  </si>
  <si>
    <t>Conference expenses</t>
  </si>
  <si>
    <t>Publicity Expenses</t>
  </si>
  <si>
    <t>Mtc. of Guest Houses</t>
  </si>
  <si>
    <t>Festival Expenses</t>
  </si>
  <si>
    <t>Gifts (other than employees)</t>
  </si>
  <si>
    <t>other hospitality provided in offices</t>
  </si>
  <si>
    <t>Misc. expenses</t>
  </si>
  <si>
    <t>A &amp; G Expenses of school run by PSEB</t>
  </si>
  <si>
    <t>A &amp; G Expenses of PSEB Colonies</t>
  </si>
  <si>
    <t>Mobile set purchase expenses</t>
  </si>
  <si>
    <t>Other Purchase Related Expenses</t>
  </si>
  <si>
    <t>76.101-102</t>
  </si>
  <si>
    <t>76.104-106</t>
  </si>
  <si>
    <t>76.111-116</t>
  </si>
  <si>
    <t>76.131-143</t>
  </si>
  <si>
    <t>76.201-220</t>
  </si>
  <si>
    <t>76.230-290</t>
  </si>
  <si>
    <t>Total (76.1)</t>
  </si>
  <si>
    <t>The Commission considered other employee expenses of Rs. 98.80 Crore (net of capitalisation) as submitted by PSTCL.</t>
  </si>
  <si>
    <t>Therefore, the Commission approved other employee expenses of (Rs. 98.80 Crore-Rs. 6.69 Crore=Rs. 92.11 Crore)</t>
  </si>
  <si>
    <t>FY 2010-11 (Previous Year)</t>
  </si>
  <si>
    <t>Fixed Assets and Provision for Depreciation</t>
  </si>
  <si>
    <t>Schedule-19</t>
  </si>
  <si>
    <t>Amount (Rs.)</t>
  </si>
  <si>
    <t>Additions FY 11</t>
  </si>
  <si>
    <t>At end of FY 11</t>
  </si>
  <si>
    <t>Assets</t>
  </si>
  <si>
    <t>Format F 9</t>
  </si>
  <si>
    <t>Previous Year FY 09-10 (Combined entities i.e. PSEB)</t>
  </si>
  <si>
    <t>Current Year FY 10-11(upto Sep.10) (Transmission)</t>
  </si>
  <si>
    <t>2009-10</t>
  </si>
  <si>
    <t>Gross Fixed Assets</t>
  </si>
  <si>
    <t>Provision For Depreciation</t>
  </si>
  <si>
    <t>Net Fixed Assets</t>
  </si>
  <si>
    <t>At Begning of Year</t>
  </si>
  <si>
    <t>Addition During Year</t>
  </si>
  <si>
    <t>Adjust- ments &amp; Deduction</t>
  </si>
  <si>
    <t>At End of Year</t>
  </si>
  <si>
    <t>Rate of Depreciation (%)</t>
  </si>
  <si>
    <t>At the begning of Year</t>
  </si>
  <si>
    <t>At the End of Year</t>
  </si>
  <si>
    <t>Land &amp; Land rights</t>
  </si>
  <si>
    <t>Building and Civil Works</t>
  </si>
  <si>
    <t>Plant &amp; Machinery</t>
  </si>
  <si>
    <t>Line Cable Networks etc.including Meters</t>
  </si>
  <si>
    <t>Computer accessories</t>
  </si>
  <si>
    <t>Meters</t>
  </si>
  <si>
    <t>Furniture-fixtures</t>
  </si>
  <si>
    <t>Office Equipments including Computer Acc.</t>
  </si>
  <si>
    <t>Total (1 to 9)</t>
  </si>
  <si>
    <t>Note:</t>
  </si>
  <si>
    <t>Figures have been taken from Schedule 19 of Annual Statement of Accounts for the year 2009-10.</t>
  </si>
  <si>
    <t>Minus Figures for Year 2010-11 (upto Sep.10) relates to Assets transferred by TLSC Mohali &amp; Grid Division ASR to P &amp; M, Divisions PSTCL, but P &amp; M Divisions have not issued U-Cheques till date due to this amount stands in IUT Heads 31 to 37.</t>
  </si>
  <si>
    <t>PUNJAB STATE ELECTRICITY BOARD</t>
  </si>
  <si>
    <t>Function wise Break up of Fixed Assets (Not as per Headwise)</t>
  </si>
  <si>
    <t>Schedule - 20</t>
  </si>
  <si>
    <t xml:space="preserve"> Annual Statements of Accounts</t>
  </si>
  <si>
    <t>Gross Block</t>
  </si>
  <si>
    <t>Provision for Depreciation</t>
  </si>
  <si>
    <t>Net Block</t>
  </si>
  <si>
    <t>Sr.no</t>
  </si>
  <si>
    <t>Functions</t>
  </si>
  <si>
    <t xml:space="preserve">At the end of </t>
  </si>
  <si>
    <t>Deduction</t>
  </si>
  <si>
    <t>Reclassifaction</t>
  </si>
  <si>
    <t>Dep. During the</t>
  </si>
  <si>
    <t xml:space="preserve">Adj.or ded. </t>
  </si>
  <si>
    <t>Reclassification</t>
  </si>
  <si>
    <t>At the end of</t>
  </si>
  <si>
    <t>Prev. Yr. 08-09</t>
  </si>
  <si>
    <t>Generation</t>
  </si>
  <si>
    <t>Rs.</t>
  </si>
  <si>
    <t xml:space="preserve">   a)</t>
  </si>
  <si>
    <t>Thermal</t>
  </si>
  <si>
    <t>a)</t>
  </si>
  <si>
    <t xml:space="preserve">         b)</t>
  </si>
  <si>
    <t>Hydel</t>
  </si>
  <si>
    <t>b)</t>
  </si>
  <si>
    <t xml:space="preserve">          c)</t>
  </si>
  <si>
    <t>Internal combustion</t>
  </si>
  <si>
    <t>c)</t>
  </si>
  <si>
    <t>Total Generation</t>
  </si>
  <si>
    <t>Distribution</t>
  </si>
  <si>
    <t>General Equipment</t>
  </si>
  <si>
    <t>Previous year</t>
  </si>
  <si>
    <t>FY 2011-12 (Current Year)</t>
  </si>
  <si>
    <t>FY 2012-13 (Ensuing Year)</t>
  </si>
  <si>
    <t>Retirement/ Replacement</t>
  </si>
  <si>
    <t>Closing GFA</t>
  </si>
  <si>
    <t>Opening balance of depreciation</t>
  </si>
  <si>
    <t>Rate of depreciation</t>
  </si>
  <si>
    <t>Land and Land Rights</t>
  </si>
  <si>
    <t>Other Civil Works</t>
  </si>
  <si>
    <t>Line and Cable Networks</t>
  </si>
  <si>
    <t>Depreciation % of Opening GFA</t>
  </si>
  <si>
    <t>Last Years' Petition</t>
  </si>
  <si>
    <t>Actuals (H1)</t>
  </si>
  <si>
    <t>Projected (H2)</t>
  </si>
  <si>
    <t>Total (H1+H2)</t>
  </si>
  <si>
    <t>Assets additions during the Year</t>
  </si>
  <si>
    <t>Depreciation as % of Opening and Closing GFA</t>
  </si>
  <si>
    <t>Note: Asset-wise segregation is required so as to claim depreciation on Regulatory basis instead of Audited accounts.</t>
  </si>
  <si>
    <t>The percentage of depreciation in audited accounts is very low which cannot be applied.</t>
  </si>
  <si>
    <t>Other Debits</t>
  </si>
  <si>
    <t>Schedule-15</t>
  </si>
  <si>
    <t>Materials Costs Variance</t>
  </si>
  <si>
    <t>R &amp; D Expenses</t>
  </si>
  <si>
    <t>Bad &amp; Doubtful debts</t>
  </si>
  <si>
    <t>Miscellaneous losses and write-offs</t>
  </si>
  <si>
    <t>Sundry expenses</t>
  </si>
  <si>
    <t>Other Income</t>
  </si>
  <si>
    <t>Schedule-5</t>
  </si>
  <si>
    <t>Interest on staff Loans &amp; Advances</t>
  </si>
  <si>
    <t>62.210-19</t>
  </si>
  <si>
    <t>Income from investment</t>
  </si>
  <si>
    <t>62.220-39</t>
  </si>
  <si>
    <t>Interest on Loans &amp; advances to Licensees</t>
  </si>
  <si>
    <t>Interest on advances to suppliers/ contractors</t>
  </si>
  <si>
    <t>Interest from banks (other than FD)</t>
  </si>
  <si>
    <t>interest on Fixed Deposit &amp; other investments</t>
  </si>
  <si>
    <t>Interest from Trading (Sale of scrap)</t>
  </si>
  <si>
    <t>Income from staff welfare activities</t>
  </si>
  <si>
    <t>Misc. Receipts</t>
  </si>
  <si>
    <t>Element-wise Analysis of Revenue</t>
  </si>
  <si>
    <t>Schedule-2</t>
  </si>
  <si>
    <t>Transmission charges recoverable from PSPCL</t>
  </si>
  <si>
    <t>TS Wheeling Charges Recovery Open Access</t>
  </si>
  <si>
    <t>Net Prior Period Credit/ (charges)</t>
  </si>
  <si>
    <t>Schedule-18</t>
  </si>
  <si>
    <t>Income relating to Previous Year</t>
  </si>
  <si>
    <t>Interest Income for Prior Periods</t>
  </si>
  <si>
    <t>Excess Provision for depreciation</t>
  </si>
  <si>
    <t>Excess Provision for Interest &amp; Finance Charges</t>
  </si>
  <si>
    <t>Other Excess Provision</t>
  </si>
  <si>
    <t>Prior Period Expenses/ Losses</t>
  </si>
  <si>
    <t>Operating Expenses</t>
  </si>
  <si>
    <t>Depreciation unprovided in previous years</t>
  </si>
  <si>
    <t>Interest &amp; Finance Chargs</t>
  </si>
  <si>
    <t>Administrative expenses Previous Year</t>
  </si>
  <si>
    <t>Freight &amp; other purchase related expenses</t>
  </si>
  <si>
    <t>Net Prior Period Credit/ (Charges) (1-2)</t>
  </si>
  <si>
    <t>Schedule-33</t>
  </si>
  <si>
    <t>Funds from State Government</t>
  </si>
  <si>
    <t>Outstanding at end of March 31, 2010</t>
  </si>
  <si>
    <t>Amount Received</t>
  </si>
  <si>
    <t>Repayment</t>
  </si>
  <si>
    <t>Outstanding at end of FY 2010-11</t>
  </si>
  <si>
    <t>Loans from State Government under Section-60</t>
  </si>
  <si>
    <t>Loans from State Government under Section-64</t>
  </si>
  <si>
    <t>Loans received from State Government under Guarantees</t>
  </si>
  <si>
    <t>Equity Capital from State Government</t>
  </si>
  <si>
    <t>Bonds issued by RBI</t>
  </si>
  <si>
    <t>54.3, 54.4</t>
  </si>
  <si>
    <t>Contribution Grants and Subsidies Towards cost of capital assets</t>
  </si>
  <si>
    <t>Schedule-34</t>
  </si>
  <si>
    <t>Balance at end of FY 2009-10</t>
  </si>
  <si>
    <t>Addition during FY 11</t>
  </si>
  <si>
    <t>Total at end of FY 11</t>
  </si>
  <si>
    <t>Consumer Contributions</t>
  </si>
  <si>
    <t>55.101-55.170</t>
  </si>
  <si>
    <t>Subsidies towards cost of Capital Assets</t>
  </si>
  <si>
    <t>Grants towards cost of Capital Assets</t>
  </si>
  <si>
    <t>Reserve and Reserve Funds</t>
  </si>
  <si>
    <t>Schedule-35</t>
  </si>
  <si>
    <t>Deductions during FY 11</t>
  </si>
  <si>
    <t>Capital Reserve (including Mis. Capital Receipt)</t>
  </si>
  <si>
    <t>Total Reserve</t>
  </si>
  <si>
    <t>General Provident Fund</t>
  </si>
  <si>
    <t>Unclaimed GPF</t>
  </si>
  <si>
    <t>Special Deposits</t>
  </si>
  <si>
    <t>General Provident Fund of MC Amritsar</t>
  </si>
  <si>
    <t>Pension Fund of MC Amritsar</t>
  </si>
  <si>
    <t>Contributory Pension Fund- Employees Contribution</t>
  </si>
  <si>
    <t>Contributory Pension Fund- Boards' Contribution</t>
  </si>
  <si>
    <t>Total Reserve Fund</t>
  </si>
  <si>
    <t>Total Reserve &amp; Reserve Fund</t>
  </si>
  <si>
    <t>56.2 to 56.6</t>
  </si>
  <si>
    <t>Subsidy Receivable from Government</t>
  </si>
  <si>
    <t>Accounting Code'</t>
  </si>
  <si>
    <t>16.4.2010 to 31.03.2011</t>
  </si>
  <si>
    <t>Capital Subsidy/ Grant Receivables</t>
  </si>
  <si>
    <t>Revenue Subsidy/ grant receivable</t>
  </si>
  <si>
    <t>Subsidy receivable on a/c of cash payment</t>
  </si>
  <si>
    <t>Opening Balance of Equity</t>
  </si>
  <si>
    <t>Equity Addition during the Year</t>
  </si>
  <si>
    <t>Deduction in Equity on account of retirement of assets</t>
  </si>
  <si>
    <t>Closing balance of Equity</t>
  </si>
  <si>
    <t>NM</t>
  </si>
  <si>
    <t>NM- Not Mentioned</t>
  </si>
  <si>
    <t>Numbers at the start of Year</t>
  </si>
  <si>
    <t>Addition in Number of Bays</t>
  </si>
  <si>
    <t>No of substations at the beginning of the year</t>
  </si>
  <si>
    <t>No of susbtations added during the Year</t>
  </si>
  <si>
    <t>Rate of Interest applied</t>
  </si>
  <si>
    <t>Schedule-29</t>
  </si>
  <si>
    <t>Borrowing for Working Capital</t>
  </si>
  <si>
    <t>Schedule-30</t>
  </si>
  <si>
    <t>Cash crdit from bank</t>
  </si>
  <si>
    <t>Bank over draft</t>
  </si>
  <si>
    <t>Loan from Banks</t>
  </si>
  <si>
    <t>a. Working Capital loans from banks</t>
  </si>
  <si>
    <t>b. Working capital loan from other Fis</t>
  </si>
  <si>
    <t>c. Working Capital Medium Term Loan from Bank</t>
  </si>
  <si>
    <t>16.4.2010</t>
  </si>
  <si>
    <t>Interest and Finance Charges</t>
  </si>
  <si>
    <t>Interest on other Loan</t>
  </si>
  <si>
    <t>Life Insurance Corporation</t>
  </si>
  <si>
    <t>Rural Electrification Corporation</t>
  </si>
  <si>
    <t>Commercial Banks</t>
  </si>
  <si>
    <t>d</t>
  </si>
  <si>
    <t>Centrally sponsored schemes</t>
  </si>
  <si>
    <t>e</t>
  </si>
  <si>
    <t>Power Finance Corporation</t>
  </si>
  <si>
    <t>f</t>
  </si>
  <si>
    <t>Lease Rentals on Lease Hold Assets</t>
  </si>
  <si>
    <t>g</t>
  </si>
  <si>
    <t>Loans from GOI under CSS-APDRP</t>
  </si>
  <si>
    <t>h</t>
  </si>
  <si>
    <t>Interest on loan R-APDRP</t>
  </si>
  <si>
    <t>Total Interest on capital liabilities</t>
  </si>
  <si>
    <t>Interest on borrowing Working Capital</t>
  </si>
  <si>
    <t>Other Interests</t>
  </si>
  <si>
    <t>78.853-854</t>
  </si>
  <si>
    <t>Other Charges</t>
  </si>
  <si>
    <t>78.881-889</t>
  </si>
  <si>
    <t>Schedule-12</t>
  </si>
  <si>
    <t>FY 2010-11 (Availability during Previous Year)</t>
  </si>
  <si>
    <t>Dec-March (Projected)</t>
  </si>
  <si>
    <t>FY 2011-12 (Availability during Current Year)</t>
  </si>
  <si>
    <t>FY 2010-11 (Availability during ensuing Year)</t>
  </si>
  <si>
    <t xml:space="preserve">220 kV </t>
  </si>
  <si>
    <t xml:space="preserve">132 kV </t>
  </si>
  <si>
    <t>Capex-FY 12</t>
  </si>
  <si>
    <t>Capex-FY 13</t>
  </si>
  <si>
    <t>Capital Expenditure for FY 2010-11</t>
  </si>
  <si>
    <t>Capital Expenditure for FY 2011-12</t>
  </si>
  <si>
    <t>Capital Expenditure for FY 2012-13</t>
  </si>
  <si>
    <t>Summary of Interest on Long-Term Loans</t>
  </si>
  <si>
    <t>Only Interest summarised here</t>
  </si>
  <si>
    <t>All loans to be considered here</t>
  </si>
  <si>
    <t>OBC Loan</t>
  </si>
  <si>
    <t>LIC Loan</t>
  </si>
  <si>
    <t>REC Loan</t>
  </si>
  <si>
    <t>Net interest</t>
  </si>
  <si>
    <t>Capitalisation (All loans)</t>
  </si>
  <si>
    <t>Capital Liabilities</t>
  </si>
  <si>
    <t>Schedule-32</t>
  </si>
  <si>
    <t>Outstanding balance</t>
  </si>
  <si>
    <t>Additions</t>
  </si>
  <si>
    <t>Repayments</t>
  </si>
  <si>
    <t>Outstanding balance at end of year</t>
  </si>
  <si>
    <t>Loans from LIC</t>
  </si>
  <si>
    <t>Loans from REC</t>
  </si>
  <si>
    <t>Loans from OBC</t>
  </si>
  <si>
    <t>P.S.:Interest and Finance Charges if any for taking the loan like loan gurantee charges are also required to be mentioned</t>
  </si>
  <si>
    <t>Schemes</t>
  </si>
  <si>
    <t>Investment made during the Year</t>
  </si>
  <si>
    <t>Total Project Cost</t>
  </si>
  <si>
    <t>Capitalisation during the Year</t>
  </si>
  <si>
    <t>Actual Funding Pattern</t>
  </si>
  <si>
    <t>Debt</t>
  </si>
  <si>
    <t>Equity</t>
  </si>
  <si>
    <t>CC &amp; Grants</t>
  </si>
  <si>
    <t>Subsidy</t>
  </si>
  <si>
    <t>Scheme-wise capitalisation details ( Projections for FY 2011-12 (H2))</t>
  </si>
  <si>
    <t>Scheme-wise capitalisation details ( Actuals for FY 2011-12 (H1))</t>
  </si>
  <si>
    <t>Scheme-wise capitalisation details (Actuals for FY 2010-11)</t>
  </si>
  <si>
    <t>Scheme-wise capitalisation details-(Projections for FY 2012-13)</t>
  </si>
  <si>
    <t>Revenue from Transmission Tariffs</t>
  </si>
  <si>
    <t>Transmission Loss%</t>
  </si>
  <si>
    <t>Revenue from Transmisison Tariffs</t>
  </si>
  <si>
    <t>Effective for whole year</t>
  </si>
  <si>
    <t>Revenue from sale of Power</t>
  </si>
  <si>
    <t>Schedule-1</t>
  </si>
  <si>
    <t>Transmission charges including Open Access</t>
  </si>
  <si>
    <t>Form F23</t>
  </si>
  <si>
    <t>Form F24</t>
  </si>
  <si>
    <t>Transmission Loss (%)</t>
  </si>
  <si>
    <t>YES</t>
  </si>
  <si>
    <t>Provision for bad debts</t>
  </si>
  <si>
    <t>Interest disallowed on account of diversion of funds</t>
  </si>
  <si>
    <t>Total Interest</t>
  </si>
  <si>
    <t>Revenue on account of Transmission from Open Access</t>
  </si>
  <si>
    <t>_</t>
  </si>
  <si>
    <t>Addl SE/ Work-cum-Admn,                                                         O/O Chief Engineer P&amp;M,                                             PSTCL, Ludhiana.</t>
  </si>
  <si>
    <t>(-)1</t>
  </si>
  <si>
    <t>Addl SE/ Work-cum-admn,                                                    O/O Chief Engineer P&amp;M,                   PSTCL, Ludhiana.</t>
  </si>
  <si>
    <t>Addl SE/Works-cum-Admn,          O/O Chief Engineer P&amp;M,                                                PSTCL, Ludhiana.</t>
  </si>
  <si>
    <t>Phsical Progress of Transmission Lines as on 31.5.2011</t>
  </si>
  <si>
    <t>Sr No</t>
  </si>
  <si>
    <t>Description</t>
  </si>
  <si>
    <t>As on 16.4.10</t>
  </si>
  <si>
    <t>During 2010-11 (Upto 31.3.11)</t>
  </si>
  <si>
    <t>Total ending 31.3.2011</t>
  </si>
  <si>
    <t>Added during   11-12 upto 10/11</t>
  </si>
  <si>
    <t>Total ending 31.10.11</t>
  </si>
  <si>
    <t>To be added from 11/11 to 3/12</t>
  </si>
  <si>
    <t>To be added during     12-13</t>
  </si>
  <si>
    <t>Toral</t>
  </si>
  <si>
    <t>Pension Paid to retirees by PSPCL who retire before 16.04.2010</t>
  </si>
  <si>
    <t>3a</t>
  </si>
  <si>
    <t>3b</t>
  </si>
  <si>
    <t>Pension and leave salary contribution of staff posted under PSPCL on deputation</t>
  </si>
  <si>
    <t>Other Terminal Benefits like solatium, gifts etc.</t>
  </si>
  <si>
    <t>Data given by A &amp; R (Compilation)</t>
  </si>
  <si>
    <t>Arrears assumed</t>
  </si>
  <si>
    <t>Escalation Factor for Projections for H2 FY 12</t>
  </si>
  <si>
    <t>Escalation Factor for Projections for FY 13</t>
  </si>
  <si>
    <t>Details of R &amp; M Expenses- Replacement of transformers, conductors &amp; relays required</t>
  </si>
  <si>
    <t>Based upon the discussion, asst-wise segregation will not be provided since it will reduce the amount of allowable depreciation during the year</t>
  </si>
  <si>
    <t>Assets replacement/ retirement</t>
  </si>
  <si>
    <t>Opening Balance-Equity Capital</t>
  </si>
  <si>
    <t>Actual amount and time period for which internal funds were utilised are required</t>
  </si>
  <si>
    <r>
      <t>LIST OF  TRANSMISSION LINES COMPLETED DURING 2011-12      (ENDING SEPTEMBER,2011)</t>
    </r>
    <r>
      <rPr>
        <sz val="10"/>
        <color indexed="8"/>
        <rFont val="Times New Roman"/>
        <family val="1"/>
      </rPr>
      <t xml:space="preserve"> .           </t>
    </r>
    <r>
      <rPr>
        <b/>
        <u/>
        <sz val="10"/>
        <color indexed="8"/>
        <rFont val="Bookman Old Style"/>
        <family val="1"/>
      </rPr>
      <t>PART-‘A’.</t>
    </r>
  </si>
  <si>
    <t>Sr No as per Plg List</t>
  </si>
  <si>
    <t>Name &amp; Scope of Work</t>
  </si>
  <si>
    <t>Length of Line                 ( In Kms )</t>
  </si>
  <si>
    <t>Total Estimated Cost</t>
  </si>
  <si>
    <t>Expenditure upto 3/11</t>
  </si>
  <si>
    <t>Funds for 11-12</t>
  </si>
  <si>
    <t>Funds for 12-13</t>
  </si>
  <si>
    <t>220 KV LINES</t>
  </si>
  <si>
    <t>1/A</t>
  </si>
  <si>
    <t>a)LILO of one ckt. of  Exist.. 220KV Lalton Kalan -Sahnewal line at  400KV PGCIL Ludhiana</t>
  </si>
  <si>
    <t>Work completed in 7/11</t>
  </si>
  <si>
    <t>b) LILO of one ckt of existing 220 KV Lalton Kalan- Dhandari Kalan at 400 KV PGCIL Ludhiana and Diversion of 220 KV Lalton Kalan- Malerkotla line to 400 KV PGCIL Ludhiana</t>
  </si>
  <si>
    <t xml:space="preserve">5/A  </t>
  </si>
  <si>
    <t xml:space="preserve">220KV Focal Point Nabha-400KV Phagan Majra DC line </t>
  </si>
  <si>
    <t>Work completed in 4/11</t>
  </si>
  <si>
    <t xml:space="preserve">10/A  </t>
  </si>
  <si>
    <t xml:space="preserve">220KV Patti-Algaon SC  on DC </t>
  </si>
  <si>
    <t>Work completed in 6/11</t>
  </si>
  <si>
    <t xml:space="preserve">13/A  </t>
  </si>
  <si>
    <r>
      <t xml:space="preserve">LILO of existing 220 KV Mohali- Dera Bassi line at Lalru </t>
    </r>
    <r>
      <rPr>
        <sz val="8"/>
        <color indexed="8"/>
        <rFont val="Times New Roman"/>
        <family val="1"/>
      </rPr>
      <t>(SC on DC)</t>
    </r>
  </si>
  <si>
    <t xml:space="preserve">15/A  </t>
  </si>
  <si>
    <t>LILO of 220 KV Sunam- Mansa line at Jhunir</t>
  </si>
  <si>
    <t>33.787x2     67.574</t>
  </si>
  <si>
    <t>132 KV LINES</t>
  </si>
  <si>
    <t>WEST ZONE</t>
  </si>
  <si>
    <t>85/A</t>
  </si>
  <si>
    <t>220 KV Mukatsar to 132 KV Mukatsar        ( New link line using existing right of way)</t>
  </si>
  <si>
    <t>1.645 DC</t>
  </si>
  <si>
    <r>
      <t>LIST OF 400 KV TRANSMISSION WORKS DURING 2011-12  &amp; 2012-13    )</t>
    </r>
    <r>
      <rPr>
        <sz val="10"/>
        <color indexed="8"/>
        <rFont val="Times New Roman"/>
        <family val="1"/>
      </rPr>
      <t xml:space="preserve"> .           </t>
    </r>
    <r>
      <rPr>
        <b/>
        <u/>
        <sz val="10"/>
        <color indexed="8"/>
        <rFont val="Bookman Old Style"/>
        <family val="1"/>
      </rPr>
      <t>PART-‘B’.</t>
    </r>
  </si>
  <si>
    <t>Rajpura Thermal Project</t>
  </si>
  <si>
    <t>400 KV LINES</t>
  </si>
  <si>
    <t>400 KV Rajpura- 400 KV Dhuri DC line</t>
  </si>
  <si>
    <t>547 Crores</t>
  </si>
  <si>
    <t>100 Crores</t>
  </si>
  <si>
    <t>400 KV Rajpura (Thermal)- 400 KV Nakodar</t>
  </si>
  <si>
    <t>440 KV Rajpura (Thermal)- 400 KV Rajpura Dc line</t>
  </si>
  <si>
    <t>400 KV Makhu- 400 KVNakodar DC line</t>
  </si>
  <si>
    <t>400 KV Substations</t>
  </si>
  <si>
    <t>400/220 KV Rajpura</t>
  </si>
  <si>
    <t>2x500 MVA</t>
  </si>
  <si>
    <t>400/220 KV Nakodar (Extension)</t>
  </si>
  <si>
    <t>4 no bays only</t>
  </si>
  <si>
    <t>400/220 KV Dhuri (Extension)</t>
  </si>
  <si>
    <t>2 no bays only</t>
  </si>
  <si>
    <t>400/220 KV Makhu (Extension)</t>
  </si>
  <si>
    <t>Talwandi Sabo Project</t>
  </si>
  <si>
    <t>400 KV Talwandi Sabo- Nakodar DC line</t>
  </si>
  <si>
    <t>1350 Crores</t>
  </si>
  <si>
    <t>440 Crores</t>
  </si>
  <si>
    <t>LILO of one ckt of 400 KV Talwandi Sabo- Nakodar line at Moga</t>
  </si>
  <si>
    <t>400 KV Talwandi Sabo- Mukatsar DC line</t>
  </si>
  <si>
    <t>400 KV Talwandi Sabo- Dhuri line</t>
  </si>
  <si>
    <t>400 KV Mukatsar- Makhu DC line</t>
  </si>
  <si>
    <t>400 KV Makhu- Amritsar DC line</t>
  </si>
  <si>
    <t>400/220 KV Mukatsar ( New)</t>
  </si>
  <si>
    <t>2x315 MVA</t>
  </si>
  <si>
    <t>400/220 KV Makhu ( New)</t>
  </si>
  <si>
    <t>400/220 KV Nakodar ( New)</t>
  </si>
  <si>
    <t>400/220 KV Dhuri (New)</t>
  </si>
  <si>
    <t>400 KV Amritsar (Existing PGCIL)</t>
  </si>
  <si>
    <t>Extn of 2 no bays</t>
  </si>
  <si>
    <t>400 KV Moga (Existing PGCIL)</t>
  </si>
  <si>
    <t xml:space="preserve">4/A  </t>
  </si>
  <si>
    <t>220 KV Bottianwala- Mastewala SC line on DC Towers</t>
  </si>
  <si>
    <t>Work is in progress</t>
  </si>
  <si>
    <t xml:space="preserve">7/A  </t>
  </si>
  <si>
    <r>
      <t xml:space="preserve">220 KV Sahnewal- Doraha </t>
    </r>
    <r>
      <rPr>
        <sz val="8"/>
        <color indexed="8"/>
        <rFont val="Times New Roman"/>
        <family val="1"/>
      </rPr>
      <t>SC line</t>
    </r>
  </si>
  <si>
    <t>400 KV Ludhiana- 220 KV Doraha SC line on DC Towers</t>
  </si>
  <si>
    <t>Route Plan approved</t>
  </si>
  <si>
    <t>18/A</t>
  </si>
  <si>
    <t>220 KV Jalandhar- Dasuya line for 220 KV Kapurthala/ Kanjali</t>
  </si>
  <si>
    <t xml:space="preserve"> Work is in progress</t>
  </si>
  <si>
    <t xml:space="preserve">14/A  </t>
  </si>
  <si>
    <t>LILO  of one ckt of 220 KV GGSSTP- Gobindgarh-I, 2xDC line for 220 KV Bassi Pathana</t>
  </si>
  <si>
    <t>Work is in progress. Railway x-ing applied</t>
  </si>
  <si>
    <t xml:space="preserve">17/A  </t>
  </si>
  <si>
    <t>220 KV Pakhowal- Mehal Kalan SC line on DC Towers</t>
  </si>
  <si>
    <t>a)LILO of one ckt of 220 KV Jamsher- Mahilpur line at 220 KV Rehana Jattan</t>
  </si>
  <si>
    <t>Work is in progress.</t>
  </si>
  <si>
    <t>b)220 KV line from 400 KV Nakodar to 220 KV Rehana Jattan</t>
  </si>
  <si>
    <t>34/A</t>
  </si>
  <si>
    <t>LILO of one ckt of 220 KV GHTP- Mansa line at 220 KV Talwandi Sabo</t>
  </si>
  <si>
    <t>Work alloted. Yet to start</t>
  </si>
  <si>
    <t>44/A</t>
  </si>
  <si>
    <t>Strgg. Of 2nd ckt of 220 KV Sunam- Patran line</t>
  </si>
  <si>
    <t xml:space="preserve">Work alloted. </t>
  </si>
  <si>
    <t>24/B</t>
  </si>
  <si>
    <t>220 KV Goindwal Sahib- Sultanpur DC line</t>
  </si>
  <si>
    <t>9/B</t>
  </si>
  <si>
    <t>220 KV DC line from 400 KV Rajpura to 220 KV Devigarh</t>
  </si>
  <si>
    <t>220 KV Bahadurgarh- Devigarh DC line</t>
  </si>
  <si>
    <t>1/B</t>
  </si>
  <si>
    <t>220 KV Mukatsar - Abohar DC line</t>
  </si>
  <si>
    <t>2/B</t>
  </si>
  <si>
    <t>i) LILO of 220 KV Bajakhana- Mukatsar line at 220 KV Kotkapura</t>
  </si>
  <si>
    <t>Work allotted.</t>
  </si>
  <si>
    <t>ii)220 KV DC line from 400 KV Mukatsar  to 220 KV Kotkapura</t>
  </si>
  <si>
    <t>3/B</t>
  </si>
  <si>
    <t>220 KV line from 440 KV Mukatsar to 220 KV Ghubaya</t>
  </si>
  <si>
    <t>5/B</t>
  </si>
  <si>
    <t>220KV SC line on DC Towers from 400 KV Dhuri to 220 KV Nabha</t>
  </si>
  <si>
    <t>Work allotted</t>
  </si>
  <si>
    <t>6/B</t>
  </si>
  <si>
    <t>i)LILO of one ckt of 220 KV Sunam- Patran line for 220 KV Bangan</t>
  </si>
  <si>
    <t>ii)220 KV DC line from 400 KV Dhuri to 220 KV Bangan</t>
  </si>
  <si>
    <t>iii)LILO on both ckts of 220 KV Sunam- Dhuri line at 400 KV Dhuri (Loop in )</t>
  </si>
  <si>
    <t>iv)LILO on both ckts of 220 KV Sunam- Dhuri line at 400 KV Dhuri (Loop out )</t>
  </si>
  <si>
    <t>7/B</t>
  </si>
  <si>
    <t>220 KV DC line from 400 KV Nakodar to 220 KV Kartarpur</t>
  </si>
  <si>
    <t>8/B</t>
  </si>
  <si>
    <t>220 KV DC line from 400 KV Nakodar to 220 KV Nurmehal</t>
  </si>
  <si>
    <t>12/B</t>
  </si>
  <si>
    <t>LILO of one ckt of 220 KV Khassa- Civil Lines ASR DC line at 220 KV Chogawan</t>
  </si>
  <si>
    <t>Route survey done. Route Plan approved</t>
  </si>
  <si>
    <t>13/B</t>
  </si>
  <si>
    <t>LILO of one ckt of 220 KV Sultanpur- Patti line at 220 KV Chola Sahib</t>
  </si>
  <si>
    <t>14/B</t>
  </si>
  <si>
    <t>LILO of one ckt of 220 KV Patiala- Patran line at 220 KV Passiana</t>
  </si>
  <si>
    <t>15/B</t>
  </si>
  <si>
    <t>LILO of one ckt of 220 KV Rajpura- Mohali-I DC line at 220 KV Banur</t>
  </si>
  <si>
    <t>16/B</t>
  </si>
  <si>
    <t>LILO of one ckt of 220 KV Patran- Rajla DC line for 220 KV Kakrala</t>
  </si>
  <si>
    <t>22/B</t>
  </si>
  <si>
    <t>LILO of one ckt of Jamsher- Sultanpur line at 220 KV Badshahpur</t>
  </si>
  <si>
    <t>23/A</t>
  </si>
  <si>
    <t>220 KV Goindwal Sahib- Khassa DC line</t>
  </si>
  <si>
    <t>Scope being revised as the space for bay at Khassa is not available</t>
  </si>
  <si>
    <t>25/A</t>
  </si>
  <si>
    <t>220 KV Goindwal Sahib- Bottianwala DC line</t>
  </si>
  <si>
    <t>Revised Route Plan under approval</t>
  </si>
  <si>
    <t>31/ B</t>
  </si>
  <si>
    <t>LILO of 220 KV Malerkotla SC line at 220 KV Ikolaha</t>
  </si>
  <si>
    <t>32/B</t>
  </si>
  <si>
    <t>LILO of 220 KV GGSSTP- Kohara line at 220 KV Gaunsgarh</t>
  </si>
  <si>
    <t>35/B</t>
  </si>
  <si>
    <t>LILO of 220 KV GGSSTP- Sahnewal line at 220 KV Ghulal</t>
  </si>
  <si>
    <t>36/B</t>
  </si>
  <si>
    <t>LILO of 220 KV Wadala Granthian- Verpal line at 220 KV S/S Udhoke</t>
  </si>
  <si>
    <t>Route Plan approved. Tender Enquiry Floated</t>
  </si>
  <si>
    <t>21/B</t>
  </si>
  <si>
    <t>LILO of 220 KV Malout- Bhatinda line at 220 KV Badal</t>
  </si>
  <si>
    <t>LILO of both ckts of 220 KV Moga- FZR lline at 220 KV Talwandi Bhai</t>
  </si>
  <si>
    <t>10/B</t>
  </si>
  <si>
    <t>LILO of both ckts of 220 KV Patiala- Mandi Gobindgarh DC line at 400 KV Rajpura</t>
  </si>
  <si>
    <t>11/B</t>
  </si>
  <si>
    <t>220 KV DC line from 400 KV Rajpura to 220 KV Lalru</t>
  </si>
  <si>
    <t>i) LILO of 220 KV Bajakhana-Mukatsar line at 220 KV Sandhwan</t>
  </si>
  <si>
    <t>ii) 220 KV DC line from 400 KV Mukatsar to 220 KV Sandhwan</t>
  </si>
  <si>
    <t>Strgg of 2nd ckt of 220 KV Sahnewal- Doraha line</t>
  </si>
  <si>
    <t>Strgg of 2nd ckt of 220 KV Pakhowal- Mehal Kalan  line</t>
  </si>
  <si>
    <t>Augmentaton of conductor from 0.15 Sq" to 0.2 Sq" for 132 KV Jamalpur- Moga line ckt no 1</t>
  </si>
  <si>
    <t>Work under allotment</t>
  </si>
  <si>
    <t>5/A</t>
  </si>
  <si>
    <t>Augmentaton of conductor from 0.15 Sq" to 0.2 Sq" for 132 KV  Moga-Kotkarore line 2nd ckt for Moga-2</t>
  </si>
  <si>
    <r>
      <t xml:space="preserve">LIST OF 220KV TRANSMISSION LINES TO BE EXECUTED  DURING 2012-13     </t>
    </r>
    <r>
      <rPr>
        <sz val="10"/>
        <color indexed="8"/>
        <rFont val="Times New Roman"/>
        <family val="1"/>
      </rPr>
      <t xml:space="preserve">           </t>
    </r>
    <r>
      <rPr>
        <b/>
        <u/>
        <sz val="10"/>
        <color indexed="8"/>
        <rFont val="Bookman Old Style"/>
        <family val="1"/>
      </rPr>
      <t>PART-‘C’.</t>
    </r>
  </si>
  <si>
    <t>220 KV DC line from 400 KV Makhu to 220 KV Tarn Taran</t>
  </si>
  <si>
    <t>LILO of 220 KV Barnala- Sangrur SC lien at Dhanaula</t>
  </si>
  <si>
    <t>List of 220 Kv s/s commissioned/ to be commissioned ending september 2011</t>
  </si>
  <si>
    <t>Name and Scope of Work</t>
  </si>
  <si>
    <t>Total Estimated Cost (In Lakh)</t>
  </si>
  <si>
    <t>Expenditure up to March 2011</t>
  </si>
  <si>
    <t>Funds for FY 2011-12</t>
  </si>
  <si>
    <t>Funds for FY 2012-13</t>
  </si>
  <si>
    <t>Commissioning Dates</t>
  </si>
  <si>
    <t>A/4/FZR (PSTCL)</t>
  </si>
  <si>
    <t>220 kV Mastewala (New) 1X 100 MVA, 220/ 66kV T/ F</t>
  </si>
  <si>
    <t>30.12.2011</t>
  </si>
  <si>
    <t>A/16/KHN</t>
  </si>
  <si>
    <t xml:space="preserve">Doraha (U/G) (U/G from 132 kV) 1 X 100 MVA, 220/ 66 kV T/F </t>
  </si>
  <si>
    <t>30.09.2011</t>
  </si>
  <si>
    <t>CE/SS/PTA no. 163/66 at Sr. No. 11/KPT/11-12</t>
  </si>
  <si>
    <t>Kapurthala/ Kanjili (New) 1 X 100 MVA, 220/ 66 kV T/F</t>
  </si>
  <si>
    <t>30.04.2011</t>
  </si>
  <si>
    <t>A/19/TTN</t>
  </si>
  <si>
    <t>Algaon (U/G) U/G from 66 kV 1 X100 MVA, 220/66 kV T/F</t>
  </si>
  <si>
    <t>CE/SS/PTA no.163/66 at Sr. No. 5/ Mohali</t>
  </si>
  <si>
    <t>220 Kv Lairu (New) 1 X 100 MVA, 220/ 66 kV T/F</t>
  </si>
  <si>
    <t>A/ 14/ KHN (PSTCL)</t>
  </si>
  <si>
    <t>220 kV s/s Bassi Pathana (New) 1 X 100 MVA, 220/ 66 Kv T/F</t>
  </si>
  <si>
    <t>31.12.2011</t>
  </si>
  <si>
    <t>A/25/BTI</t>
  </si>
  <si>
    <t>220 kV Jhumir (New) 1 x 100 MVA, 220/ 66 kV T/F</t>
  </si>
  <si>
    <t>A/28/ SNG</t>
  </si>
  <si>
    <t>220 kV Mehal Kalan (New) 1 X 100 MVA, 220/ 66 kV T/F</t>
  </si>
  <si>
    <t>CE/ SS/ PTA no. 163/166 at Sr. No. 13/ HSP</t>
  </si>
  <si>
    <t xml:space="preserve">220 kV Rehan Jattan (U/G) from 66 kV, 1 X 100 MVA, 220/66 kV T/F </t>
  </si>
  <si>
    <t>CE/ SS/ PTA no. 163/166 at Sr. No. 12/ HSP</t>
  </si>
  <si>
    <t>220 kV s/s Patran (Aug) Additional 1 X 100 MVA, 220/ 66 kV T/F</t>
  </si>
  <si>
    <t>CE/ SS/ PTA no. 163/166 at Sr. No. 4/ KHN/ 11-12</t>
  </si>
  <si>
    <t>220 kV S/S Gobindgarh-4 (New) 1 X 100 MVA, 220/ 66 kV T/F</t>
  </si>
  <si>
    <t>A/31/ FDK</t>
  </si>
  <si>
    <t>220 kV Bazakhana 1 X 100 MVA, 220/ 66 kV T/F</t>
  </si>
  <si>
    <t>31.03.2011</t>
  </si>
  <si>
    <t>CE/SS/PTA no. 163/166 at Sr. No. 14/ TTN/ 11-12</t>
  </si>
  <si>
    <t>220 kV S/S Butari (Aug) Additional 1 X 100 MVA, 220/ 66 Kv T/F</t>
  </si>
  <si>
    <t>24.08.2011</t>
  </si>
  <si>
    <t>B/ 21/ MKT/ 2011-12</t>
  </si>
  <si>
    <t xml:space="preserve">220 kV Badal (U/G) from 132 kV, 1 X 100 MVA, 220/66 kV T/F </t>
  </si>
  <si>
    <t>B/ 20/ BT1/11-12</t>
  </si>
  <si>
    <t xml:space="preserve">220 kV s/s Talwandi Sahibo (U/G) from 66 kV, 1 X 100 MVA, 220/66 kV T/F </t>
  </si>
  <si>
    <t>31.01.2011</t>
  </si>
  <si>
    <t>CE/ PLG/ PTA no. 2463/ 75 at Sr. No. 7/ HSP</t>
  </si>
  <si>
    <t>220 kV S/S Dasuya (Switching Station (Aug) 1 X 100 MVA, 220/ 66 kV T/F</t>
  </si>
  <si>
    <t>26/ PTA 10-11</t>
  </si>
  <si>
    <t>220 kV S/S Bahadurgarh (Bhater) (Aug) 1 X 100 MVA, 220/ 66 kV T/F</t>
  </si>
  <si>
    <t>A/ 26/ SNG</t>
  </si>
  <si>
    <t>220 kV S/S Malerlotia (Aug) Additional 1 X 100 MVA, 220/ 66 kV T/F</t>
  </si>
  <si>
    <t>10.06.2011</t>
  </si>
  <si>
    <t>12/ B/ TTN 11-12</t>
  </si>
  <si>
    <t>220 kV Chogawan (Aug) 1 X 100 MVA, 220/ 66 kV T/F</t>
  </si>
  <si>
    <t>B/ 12/ TTN/ 11-12</t>
  </si>
  <si>
    <t>220 kV Chola Sahib (New) 1 X 100 MVA, 220/ 66 kV T/F</t>
  </si>
  <si>
    <t>31.01.2012</t>
  </si>
  <si>
    <t>B/ 35/ Ropar</t>
  </si>
  <si>
    <t>220 kV Ghulal U/ G from 132 kV 2x 100 MVA, 220/ 66 kV T/F</t>
  </si>
  <si>
    <t>36/ B/ ASR</t>
  </si>
  <si>
    <t xml:space="preserve">220 kV Udhoke (U/G from 66 kV) 1 x 100 MVA, 220/66 KV T/F </t>
  </si>
  <si>
    <t>Amend/ 23/ 10-11/ Ropar</t>
  </si>
  <si>
    <t>220 kV Kharar (Aug) Additional 1 X 100 mva, 220/ 66 kV (2nd T/F)</t>
  </si>
  <si>
    <t>Amend/ 5/11-12/ GSP</t>
  </si>
  <si>
    <t>220 kV Sarna (New) 1 X 100 MVA, 220/ 66 kV T/F</t>
  </si>
  <si>
    <t>31.03.2012</t>
  </si>
  <si>
    <t>B/37/KHN/11-12</t>
  </si>
  <si>
    <t>220 kV Talwandi Bhai (U/G) from 132 kV 1 X 100 MVA, 220/ 66 kV T/F, 1 X100 MVA, 220/132 KV T/F</t>
  </si>
  <si>
    <t>A/30/KPT/11-12</t>
  </si>
  <si>
    <t>220 kV Goraya (Aug) Additional 1 X 100 mva, 220/66 kV T/F</t>
  </si>
  <si>
    <t>B/1/MKT/11-12</t>
  </si>
  <si>
    <t>220 kV s/s Abhoar U/G from 132 kV 1 x 100 MVA, 220/ 66 Kv T/F</t>
  </si>
  <si>
    <t>154/SZ/ Annx-A 10-11/ 11-12</t>
  </si>
  <si>
    <t>220 Kv S/S BBMB SNG 2 X 45/60 MVA 1 X 60 MVA 1 X 100 MVA (Spare T/F)</t>
  </si>
  <si>
    <t>220 kV Gaunsgarh (New) 1 X 100 MVA, 220/ 66 kV t/f</t>
  </si>
  <si>
    <t>B/31/KHN/11-12</t>
  </si>
  <si>
    <t>220 kV Iklaha (U/G) 1 X 100 MVA, 220/ 66 KV T/F</t>
  </si>
  <si>
    <t>31.05.2012</t>
  </si>
  <si>
    <t>B/23/SNG/11-12</t>
  </si>
  <si>
    <t>220 kV Dhanaula (U/G from 66 kV) 1 X 100 MVA, 220/ 66 kV T/F</t>
  </si>
  <si>
    <t>B/2/FDK/11-12</t>
  </si>
  <si>
    <t>220 kV Kotka pura (New) 1 X 100 MVA, 220/ 66 kV T/F</t>
  </si>
  <si>
    <t>A/24/ASR/11-12</t>
  </si>
  <si>
    <t>220 kV S/S Khassa Additional 1 X 100 MVA, 200/ 66 kV T/F</t>
  </si>
  <si>
    <t>31.05.2011</t>
  </si>
  <si>
    <t>A/ 28/ ASR/ PSTCL/ 11-12</t>
  </si>
  <si>
    <t>220 kV Khassa (Aug) Exst. 1 X 100 MVA, 220/ 66 kV T/F Repl. With New 100 MVA, 220/ 66 kV T/F</t>
  </si>
  <si>
    <t>A/36/ASR</t>
  </si>
  <si>
    <t>220 kV Civil Lines Amritsar 1 X 100 MVA, 220/ 66 kV T/F</t>
  </si>
  <si>
    <t>B/6/ PTA/11-12</t>
  </si>
  <si>
    <t>220 kV S/S Bangan U/G 1 X 100 MVA, 220/ 66 Kv T/F</t>
  </si>
  <si>
    <t>B/9/PTA/11-12</t>
  </si>
  <si>
    <t>220 kV S/S Devigarh U/G 1 X 100 MVA, 220/ 66 Kv T/F</t>
  </si>
  <si>
    <t>30.04.2012</t>
  </si>
  <si>
    <t>B/14/PTA/11-12</t>
  </si>
  <si>
    <t>220 kV S/S Passiane U/G 1 X 100 MVA, 220/ 66 Kv T/F</t>
  </si>
  <si>
    <t>B/ 15/PTA/11-12</t>
  </si>
  <si>
    <t>220 kV S/S Banur U/G 1 X 100 MVA, 220/ 66 Kv T/F</t>
  </si>
  <si>
    <t>B/16/PTA/11-12</t>
  </si>
  <si>
    <t>220 kV S/S Kakrala U/G 1 X 100 MVA, 220/ 66 Kv T/F</t>
  </si>
  <si>
    <t>B/17/MOH/11-12</t>
  </si>
  <si>
    <t>220 kV S/S Lalru (Aug) 1 X 100 MVA, 220/ 66 Kv T/F</t>
  </si>
  <si>
    <t>B/18/MOH/11-12</t>
  </si>
  <si>
    <t>220 kV S/S Mohali (Aug) 1 X 100 MVA, 220/ 66 Kv T/F (2nd)</t>
  </si>
  <si>
    <t>B/29/ SNG/ 11-12</t>
  </si>
  <si>
    <t>220 Kv S/S Dhuri (Aug) 1 X 100 MVA, 220/ 66 kV T/F (3rd)</t>
  </si>
  <si>
    <t>31.07.2012</t>
  </si>
  <si>
    <t>B/30/FDK/11-12</t>
  </si>
  <si>
    <t>220 kV Sadiq (Aug) 1 X 100 MVA, 220/ 66 kV T/F (2nd)</t>
  </si>
  <si>
    <t>Jal/11-12</t>
  </si>
  <si>
    <t>220 kV Badshahpur (U/G) from 66 Kv 1 x 100 MVA, 220/ 66 Kv T/F (2nd)</t>
  </si>
  <si>
    <t>31.08.2012</t>
  </si>
  <si>
    <t>220 KV Nurmehal (U/G) from 132 kV 1 X 100 MVA, 220/ 66 Kv</t>
  </si>
  <si>
    <t>Dy. CE to Dir-D PSPCL/ PTA no. 2463/ 75 Dr. 301.12.2010 (Nakodar)</t>
  </si>
  <si>
    <t>220 kV Kotla Jangan (Addl.) 100 MVA, 220/ 66 kV T/F</t>
  </si>
  <si>
    <t>List of 132 Kv s/s commissioned/ to be commissioned ending september 2011</t>
  </si>
  <si>
    <t>11/A/PTA</t>
  </si>
  <si>
    <t>132 kV S/ Stn, Kiratpur Shib/ Nakkaian (New) 1 X 12.5 MVA, 132/11 Kv</t>
  </si>
  <si>
    <t>A/68/NW/SR</t>
  </si>
  <si>
    <t>132 Kv S/ Stn, Jadla (Aug) 1 X 20 MVA, 132/ 11 kV T/F to rep. 1 X 12.5 MVA, 66/ 11 kV T/F</t>
  </si>
  <si>
    <t>A/140/MKT</t>
  </si>
  <si>
    <t>132 kV S/ Stn., Sarai Naga (Addl.) Addl. 1 X 20 MVA, 132/ 66-33 kV T/F</t>
  </si>
  <si>
    <t>Ammd 137/09-10/10-11 Sr. No 138/ A-S-PTA/ 09-10 M. No 58/ 59 Dt 18-01-110000</t>
  </si>
  <si>
    <t>132 Kv S/ Stn, Shamashpur (Aug) 1 X 20 MVA, 132/ 11 kV T/F to rep. 1 X 12.5 MVA, 66/ 11 kV T/F</t>
  </si>
  <si>
    <t>1.6.2011</t>
  </si>
  <si>
    <t>SO &amp; C PTA M. No 1338/ 40 Dt 06-09-10 Sr No 6/132 kV 10-11</t>
  </si>
  <si>
    <t>132 kV S/ Stn. Abohar (Aug.) Addl. 1 X 40/ 50 MVA, 132/66-33 Kv</t>
  </si>
  <si>
    <t>14.08.2011</t>
  </si>
  <si>
    <t xml:space="preserve">132 kV S/ Stn. Tarn Taran (Aug.) 1 X 40/ 50 MVA + 1 X 12.5/ 16 MVA, 132/66 kV to replace existing 2 X 40/ 50 MVA, 132/ 66 kV T/F </t>
  </si>
  <si>
    <t>04/ FDK/ 2010-11 CE/ TL PTA Ammd 1011-12 m no 292 dt 23-05-2011</t>
  </si>
  <si>
    <t>132 kV S/ Stn. Samadh Bhai (Aug.) Addl. 1 X 20/ 25 MVA 132/66 kV T/F</t>
  </si>
  <si>
    <t>/ ASR</t>
  </si>
  <si>
    <t>132 kV S/ Stn. G.T. Road Mal Mandi (Aug.) 1 X 40/ 50 MVA, 132/ 66 kV to replace existing 1 X 16/ 20 MVA, 132/ 66 Kv T/F</t>
  </si>
  <si>
    <t>SE/ Plann-I PTA Memo No157/58 dt 18-03-11 Ammd No. 22</t>
  </si>
  <si>
    <t>132 kV Dharamkot 1 X 20 MVA 132/11 kV to repl 10/12.5 MVA 132/11 Kv</t>
  </si>
  <si>
    <t>25.04.2011</t>
  </si>
  <si>
    <t>Non Pld.</t>
  </si>
  <si>
    <t xml:space="preserve">132 kV Dera Beas 20 MVA 132/11 TO Repl. 10/12.5 MVA 132/ 11 kV </t>
  </si>
  <si>
    <t>09.07.2011</t>
  </si>
  <si>
    <t>Sr. No 3/ Ammd No 16/ PSTCL/ 11-12/ KPT M. No 112/13 dt 07-04-2011</t>
  </si>
  <si>
    <t xml:space="preserve">132 kV Khera Mandir 20 MVA 132/11 TO Repl. 10/12.5 MVA 132/ 11 kV </t>
  </si>
  <si>
    <t>03.08.2011</t>
  </si>
  <si>
    <t xml:space="preserve">132 kV F.P. Jalandhar 12.5 MVA 132/11 kV </t>
  </si>
  <si>
    <t>List of 400 Kv s/s commissioned/ to be commissioned ending september 2011</t>
  </si>
  <si>
    <t>400 kV S/S at Rajpura</t>
  </si>
  <si>
    <t>132 kV Sub-stations</t>
  </si>
  <si>
    <t>220 kV Sub-stations</t>
  </si>
  <si>
    <t>Capitalisation</t>
  </si>
  <si>
    <t>FY 2011-12</t>
  </si>
  <si>
    <t>FY 2012-13</t>
  </si>
  <si>
    <t>400 kV Sub-stations</t>
  </si>
  <si>
    <t>132 kV Lines</t>
  </si>
  <si>
    <t>220 kV Lines</t>
  </si>
  <si>
    <t>400 Kv Lines</t>
  </si>
  <si>
    <t>Abstract-Capital Expenditure and Capitalisation</t>
  </si>
  <si>
    <t>Capitalisation to be re-confirmed</t>
  </si>
  <si>
    <t>Capitalisation to be re-confirmed by PSTCL</t>
  </si>
  <si>
    <t>Loan Balance as on 31.03.2011</t>
  </si>
  <si>
    <r>
      <t xml:space="preserve">                     </t>
    </r>
    <r>
      <rPr>
        <u/>
        <sz val="10"/>
        <color indexed="8"/>
        <rFont val="Arial"/>
        <family val="2"/>
      </rPr>
      <t>Loans from Life Insurance Corporation</t>
    </r>
  </si>
  <si>
    <t>Cr. 52.501</t>
  </si>
  <si>
    <t>Dr. 52.501</t>
  </si>
  <si>
    <t>Opening balance as on 16.04.10</t>
  </si>
  <si>
    <t>Received during 2010-11</t>
  </si>
  <si>
    <t>Repayments during 2010-11</t>
  </si>
  <si>
    <t xml:space="preserve"> Balance as on 31.03.11</t>
  </si>
  <si>
    <t>Loan No. 40 @ 11% repayble in 15 equal instalments from 15.07.2000</t>
  </si>
  <si>
    <t>Loan No. 41 @ 11% repayble in 15 equal instalments from 15.07.2001</t>
  </si>
  <si>
    <t>Loan No. 42 @ 11% repayble in 15 equal instalments from 15.07.2002</t>
  </si>
  <si>
    <t>Loan No. 43 @ 11% repayble in 15 equal instalments from 15.07.2003</t>
  </si>
  <si>
    <r>
      <t xml:space="preserve">                           </t>
    </r>
    <r>
      <rPr>
        <u/>
        <sz val="10"/>
        <color indexed="8"/>
        <rFont val="Arial"/>
        <family val="2"/>
      </rPr>
      <t>Loans from commercial Bank</t>
    </r>
  </si>
  <si>
    <t>Cr.53.505</t>
  </si>
  <si>
    <t>Dr.53.505</t>
  </si>
  <si>
    <t xml:space="preserve">OBC - 1 (2004-05) interest rate variable </t>
  </si>
  <si>
    <t xml:space="preserve">OBC - 2 (2007-08) interest rate variable </t>
  </si>
  <si>
    <t xml:space="preserve">OBC - 3 (2008-09) interest rate variable </t>
  </si>
  <si>
    <t xml:space="preserve">                         Loans form Rural Electrication  Corporation.</t>
  </si>
  <si>
    <t>Cr. 55.301</t>
  </si>
  <si>
    <t>Dr.55.301</t>
  </si>
  <si>
    <t xml:space="preserve">Sr No. </t>
  </si>
  <si>
    <t>Scheme No.</t>
  </si>
  <si>
    <t>Name of Scheme</t>
  </si>
  <si>
    <t>Balance as on 16.04.10</t>
  </si>
  <si>
    <t xml:space="preserve"> Received</t>
  </si>
  <si>
    <t>Re-paid</t>
  </si>
  <si>
    <t>Balance as on 31.03.2011</t>
  </si>
  <si>
    <t>P:SI 220KV Transmission</t>
  </si>
  <si>
    <t>P:SI 132KV Transmission</t>
  </si>
  <si>
    <t>400KVTalwandi Saboo Project</t>
  </si>
  <si>
    <t>P:SI 132/220KV Transmission</t>
  </si>
  <si>
    <t>A+B+C</t>
  </si>
  <si>
    <t>Scheme wise Balance &amp; interest as on 31.03.2011</t>
  </si>
  <si>
    <t>Interest paid</t>
  </si>
  <si>
    <t>Accrud</t>
  </si>
  <si>
    <t>Total Interest 2010-11</t>
  </si>
  <si>
    <t>Cr. 53.301</t>
  </si>
  <si>
    <t>Dr. 53.301</t>
  </si>
  <si>
    <t>Dr.78.531</t>
  </si>
  <si>
    <t>Cr.46.702</t>
  </si>
  <si>
    <t>Dr.78.551</t>
  </si>
  <si>
    <t>Cr.46.710</t>
  </si>
  <si>
    <t>Dr.52.501</t>
  </si>
  <si>
    <t>Dr.78.501</t>
  </si>
  <si>
    <t>Cr. 46.701</t>
  </si>
  <si>
    <t>It is certified that Accrud interest from Sr. no.19 to 27 (16431297) is paid in 6/2011 &amp;  Sr. No. 29 (59867464) is paid in 7/2011.</t>
  </si>
  <si>
    <t>Accounts Officer/ L&amp;B</t>
  </si>
  <si>
    <t xml:space="preserve">               PSTCL, Patiala.</t>
  </si>
  <si>
    <t>Borrowing for working capital Loans</t>
  </si>
  <si>
    <t>Loan sanctioned/ availed</t>
  </si>
  <si>
    <t>repayment up to 16.04.10</t>
  </si>
  <si>
    <t>Principal Repay on 15.07.10</t>
  </si>
  <si>
    <t>Interst on 15.07.10</t>
  </si>
  <si>
    <t xml:space="preserve">Balance </t>
  </si>
  <si>
    <t>payment on 15.01.11</t>
  </si>
  <si>
    <t>Interst on 15.01.11</t>
  </si>
  <si>
    <t>Total Principal during 2010-11</t>
  </si>
  <si>
    <t>Total Interst during 2010-11</t>
  </si>
  <si>
    <t>Balance as on 31.03.11</t>
  </si>
  <si>
    <t>payment on 15.07.11</t>
  </si>
  <si>
    <t>INTEREST 15.07.11</t>
  </si>
  <si>
    <t>Balance as on 15.01.12</t>
  </si>
  <si>
    <t>INTEREST 15.01.12</t>
  </si>
  <si>
    <t>payment on 15.01.12</t>
  </si>
  <si>
    <t>Total Principal during 2011-12</t>
  </si>
  <si>
    <t>Total Interst during 2011-12</t>
  </si>
  <si>
    <t>Balance as on 31.03.12</t>
  </si>
  <si>
    <t>4 = 1-2</t>
  </si>
  <si>
    <t>7 = 2 + 6</t>
  </si>
  <si>
    <t>8 = 3 + 5</t>
  </si>
  <si>
    <t xml:space="preserve">9 = 1 - 7 </t>
  </si>
  <si>
    <t>10 =  PY 11</t>
  </si>
  <si>
    <t xml:space="preserve">12 = 8-10+11 </t>
  </si>
  <si>
    <t>Less Prevoius Accrud</t>
  </si>
  <si>
    <t>Add Current Accrud 77 days (15.01.12 to 31.03.13)</t>
  </si>
  <si>
    <t>Gross Int.</t>
  </si>
  <si>
    <t>payment on 15.07.12</t>
  </si>
  <si>
    <t>INTEREST 15.07.12</t>
  </si>
  <si>
    <t>Balance as on 15.01.13</t>
  </si>
  <si>
    <t>INTEREST 15.01.13</t>
  </si>
  <si>
    <t>payment on 15.01.13</t>
  </si>
  <si>
    <t>Total Principal during 2012-13</t>
  </si>
  <si>
    <t>Total Interst during 2012-13</t>
  </si>
  <si>
    <t>Balance as on 31.03.13</t>
  </si>
  <si>
    <t>payment on 15.07.13</t>
  </si>
  <si>
    <t>INTEREST 15.07.13</t>
  </si>
  <si>
    <t>Balance as on 15.01.14</t>
  </si>
  <si>
    <t>INTEREST 15.01.14</t>
  </si>
  <si>
    <t>payment on 15.01.14</t>
  </si>
  <si>
    <t>Total Principal during 2013-14</t>
  </si>
  <si>
    <t>Total Interst during 2013-14</t>
  </si>
  <si>
    <t>Balance as on 31.03.14</t>
  </si>
  <si>
    <t>payment on 15.07.14</t>
  </si>
  <si>
    <t>INTEREST 15.07.14</t>
  </si>
  <si>
    <t>Balance as on 15.01.15</t>
  </si>
  <si>
    <t>INTEREST 15.01.15</t>
  </si>
  <si>
    <t>payment on 15.01.15</t>
  </si>
  <si>
    <t>Total Principal during 2014-15</t>
  </si>
  <si>
    <t>Total Interst during 2014-15</t>
  </si>
  <si>
    <t>Balance as on 31.03.15</t>
  </si>
  <si>
    <t>payment on 15.07.15</t>
  </si>
  <si>
    <t>INTEREST 15.07.15</t>
  </si>
  <si>
    <t>Balance as on 15.01.16</t>
  </si>
  <si>
    <t>INTEREST 15.01.16</t>
  </si>
  <si>
    <t>payment on 15.01.17</t>
  </si>
  <si>
    <t>Total Principal during 2015-16</t>
  </si>
  <si>
    <t>Total Interst during 2015-16</t>
  </si>
  <si>
    <t>Balance as on 31.03.16</t>
  </si>
  <si>
    <t>payment on 15.07.16</t>
  </si>
  <si>
    <t>INTEREST 15.07.16</t>
  </si>
  <si>
    <t>Balance as on 15.01.17</t>
  </si>
  <si>
    <t>INTEREST 15.01.17</t>
  </si>
  <si>
    <t>Total Principal during 2016-17</t>
  </si>
  <si>
    <t>Total Interst during 2016-17</t>
  </si>
  <si>
    <t>Balance as on 31.03.17</t>
  </si>
  <si>
    <t>payment on 15.07.17</t>
  </si>
  <si>
    <t>INTEREST 15.07.17</t>
  </si>
  <si>
    <t>Balance as on 15.01.18</t>
  </si>
  <si>
    <t>INTEREST 15.01.18</t>
  </si>
  <si>
    <t>payment on 15.01.18</t>
  </si>
  <si>
    <t>Total Principal during 2017-18</t>
  </si>
  <si>
    <t>Total Interst during 2017-18</t>
  </si>
  <si>
    <t>Balance as on 31.03.18</t>
  </si>
  <si>
    <t>payment on 15.07.18</t>
  </si>
  <si>
    <t>INTEREST 15.07.18</t>
  </si>
  <si>
    <t>Balance as on 15.01.19</t>
  </si>
  <si>
    <t>INTEREST 15.01.19</t>
  </si>
  <si>
    <t>payment on 15.01.19</t>
  </si>
  <si>
    <t>Total Principal during 2018-19</t>
  </si>
  <si>
    <t>Total Interst during 2018-19</t>
  </si>
  <si>
    <t>Balance as on 31.03.19</t>
  </si>
  <si>
    <t>G. Total</t>
  </si>
  <si>
    <t>OBC Interest for the year 2011-12</t>
  </si>
  <si>
    <t>Principal</t>
  </si>
  <si>
    <t>Interest</t>
  </si>
  <si>
    <t>Total Repayment</t>
  </si>
  <si>
    <t>C. Balance</t>
  </si>
  <si>
    <t>O.B</t>
  </si>
  <si>
    <t>11-12.25%</t>
  </si>
  <si>
    <t>April,2010</t>
  </si>
  <si>
    <t>April,2011</t>
  </si>
  <si>
    <t>May,2010</t>
  </si>
  <si>
    <t>May,2011</t>
  </si>
  <si>
    <t>june,2010</t>
  </si>
  <si>
    <t>june,2011</t>
  </si>
  <si>
    <t>july,2010</t>
  </si>
  <si>
    <t>july,2011</t>
  </si>
  <si>
    <t>Aug,2010</t>
  </si>
  <si>
    <t>Aug,2011</t>
  </si>
  <si>
    <t>Sep,2010</t>
  </si>
  <si>
    <t>Sep,2011</t>
  </si>
  <si>
    <t>Oct,2010</t>
  </si>
  <si>
    <t>Oct,2011</t>
  </si>
  <si>
    <t>Nov,2010</t>
  </si>
  <si>
    <t>Nov,2011</t>
  </si>
  <si>
    <t>Dec,2010</t>
  </si>
  <si>
    <t>Dec,2011</t>
  </si>
  <si>
    <t>Jan,2011</t>
  </si>
  <si>
    <t>Jan,2012</t>
  </si>
  <si>
    <t>Feb,2011</t>
  </si>
  <si>
    <t>Feb,2012</t>
  </si>
  <si>
    <t>Mar,2011</t>
  </si>
  <si>
    <t>Mar,2012</t>
  </si>
  <si>
    <t>Balance</t>
  </si>
  <si>
    <t xml:space="preserve">                                               </t>
  </si>
  <si>
    <t>8.75*365/31</t>
  </si>
  <si>
    <t>G.Total</t>
  </si>
  <si>
    <t>REC Monthly Scheme</t>
  </si>
  <si>
    <t>REC Quarterlyly Scheme</t>
  </si>
  <si>
    <t>REC Yearly Scheme</t>
  </si>
  <si>
    <t>Medium Term Loan of Rs. 50 cr. From SBOP</t>
  </si>
  <si>
    <t>C. Bal</t>
  </si>
  <si>
    <t>30.09.2016</t>
  </si>
  <si>
    <t>Short  Term Loan of Rs. 100 cr. From REC</t>
  </si>
  <si>
    <t>15.05.12</t>
  </si>
  <si>
    <t>15.03.12 to 31.03.12</t>
  </si>
  <si>
    <t>Add Accrud</t>
  </si>
  <si>
    <t>Less Accrud</t>
  </si>
  <si>
    <t>Actual Interest on Working Capital- Payable to PSPCL</t>
  </si>
  <si>
    <t>O &amp; M Expenses as per CERC Norms</t>
  </si>
  <si>
    <t>Abstract- Capital Expenditure and Capitalisation (Rs. Lakh)</t>
  </si>
  <si>
    <t>H1 +H2</t>
  </si>
  <si>
    <t>H1 (Actuals)</t>
  </si>
  <si>
    <t>H2 (Projected)</t>
  </si>
  <si>
    <t>Arrears on account of pay revision</t>
  </si>
  <si>
    <t>Total Employee Expenses</t>
  </si>
  <si>
    <t>Expenses for new employees added during FY</t>
  </si>
  <si>
    <t>Other Employee Expenses</t>
  </si>
  <si>
    <t>Gross Employee Expenses</t>
  </si>
  <si>
    <t>R &amp; M Expenses</t>
  </si>
  <si>
    <t>Net R &amp; M Expenses</t>
  </si>
  <si>
    <t>Total (H1 + H2)</t>
  </si>
  <si>
    <t>Net A &amp; G Expenses</t>
  </si>
  <si>
    <t>(31.3.2010)</t>
  </si>
  <si>
    <t>(31.3.2011)</t>
  </si>
  <si>
    <t>(-)5</t>
  </si>
  <si>
    <t>220 kV Substations</t>
  </si>
  <si>
    <t>CERC Norms</t>
  </si>
  <si>
    <t>Total Expenses</t>
  </si>
  <si>
    <t>132 kV Substations</t>
  </si>
  <si>
    <t>Single Ckt. Lines</t>
  </si>
  <si>
    <t>Double Ckt. Lines</t>
  </si>
  <si>
    <t>Length of Single Ckt. Lines</t>
  </si>
  <si>
    <t>Length of Double Ckt. Lines</t>
  </si>
  <si>
    <t>No. of Bays</t>
  </si>
  <si>
    <t>Unit</t>
  </si>
  <si>
    <t>Number</t>
  </si>
  <si>
    <t>Rs. Lakh</t>
  </si>
  <si>
    <t>Km</t>
  </si>
  <si>
    <t>Single Circuit Line</t>
  </si>
  <si>
    <t>Double Circuit Line</t>
  </si>
  <si>
    <t>Total O &amp; M Expenses according to CERC Norms</t>
  </si>
  <si>
    <t>R&amp;M Expenses</t>
  </si>
  <si>
    <t>Addition during the year</t>
  </si>
  <si>
    <t>Ratio of R&amp;M/Opening GFA</t>
  </si>
  <si>
    <t>LIST OF 220KV S/Ss COMMISSIONED/TOBE COMMISSIONED DURING 2011-12 &amp; 13-14   PART-A</t>
  </si>
  <si>
    <t>Sr . No.</t>
  </si>
  <si>
    <t xml:space="preserve">           Circle</t>
  </si>
  <si>
    <t xml:space="preserve">220KV Mastewala(New) 1x100MVA, 220/66KV T/F </t>
  </si>
  <si>
    <t>31.12.11</t>
  </si>
  <si>
    <t>Doraha (U/G) (U/G From 132 KV) 1x100MVA, 220/66KV T/F</t>
  </si>
  <si>
    <t xml:space="preserve"> Kapurthala /Kanjli (New) 1x100MVA, 220/66KV T/F</t>
  </si>
  <si>
    <t>-</t>
  </si>
  <si>
    <t>commd 30.4.11</t>
  </si>
  <si>
    <t>Algaon (U/G)  U/G From 66KV 1x100MVA, 220/66KV T/F</t>
  </si>
  <si>
    <t>Work completed on  30.4.11</t>
  </si>
  <si>
    <t>220 KV Lalru (New) 1x100MVA, 220/66KV T/F</t>
  </si>
  <si>
    <t>220KV S/S Bassi Pathana (New) 1x100MVA,220/66KV T/F</t>
  </si>
  <si>
    <t>31.03.12</t>
  </si>
  <si>
    <t>220 KV Jhunir (New) 1x100MVA, 220/66KV T/F</t>
  </si>
  <si>
    <t>Work completed on 31.3.2</t>
  </si>
  <si>
    <t>220 KV Mehal Kalan (New ) 1x100MVA, 220/66KV  T/F</t>
  </si>
  <si>
    <t>220 KV Rehana Jattan (U/G) from 66 KV )  1x100MVA, 220/66KV T/F</t>
  </si>
  <si>
    <t>30.11.11</t>
  </si>
  <si>
    <t>220 KV S/S Patran (Aug) Addl. 1x100MVA, 220/66KV T/F</t>
  </si>
  <si>
    <t xml:space="preserve">Completed on </t>
  </si>
  <si>
    <t xml:space="preserve"> 220 KV S/S   GOBINDGARH-4  (New) 1x100MVA, 220/66KV  T/F</t>
  </si>
  <si>
    <t>220 KV Bazakhana(Aug) Addl. 1x100MVA, 220/66KV T/F</t>
  </si>
  <si>
    <t>Commd on 31.3.11</t>
  </si>
  <si>
    <t>220 KV S/S Butari (Aug) Addl.1x100MVA, 220/66KV T/F</t>
  </si>
  <si>
    <t>Completed on  24.8.11</t>
  </si>
  <si>
    <t>220 KV Badal (U/G from 132 KV) 1x100MVA, 220/66KV T/F</t>
  </si>
  <si>
    <t>31.05.12</t>
  </si>
  <si>
    <t>220KV S/S Talwandi Sahibo (U/G) from 66KV 1x100MVA, 220/66KV T/F</t>
  </si>
  <si>
    <t>33.06.12</t>
  </si>
  <si>
    <t>220 KV S/S Dasuya (Switching Station(Aug) 1x100MVA,220/66KV T/F</t>
  </si>
  <si>
    <t>220 KV S/S Chola Sahib  (New) 1x100MVA, 220/66KV T/F</t>
  </si>
  <si>
    <t>220 KV Ghulal U/G From 132KV 2x100MVA, 220/66KVT/F</t>
  </si>
  <si>
    <t>220 KV Udhoke(U/G from 66 KV) 1x100MVA, 220/66KV T/F</t>
  </si>
  <si>
    <t>220 KVKharar(Aug) Addl.1x100MVA, 220/66KV (2nd T/F)</t>
  </si>
  <si>
    <t>220KV Sarna (New) 1x100MVA, 220/66KV T/F</t>
  </si>
  <si>
    <t>30.06.12</t>
  </si>
  <si>
    <t>220 KV Talwandi Bhai (U/G) from 132KV                                                1x100MVA, 220/66KV T/F.                                                1x100MVA, 220/132KV T/F</t>
  </si>
  <si>
    <t>220KV Goraya (Aug) Addl. 1x100MVA, 220/66KV T/F</t>
  </si>
  <si>
    <t>220KV S/S Abhoar U/G from 132KV 1x100MVA, 220/66KV T/F</t>
  </si>
  <si>
    <t>220KV GAUNSGARH (New)                                 1x100MVA, 220/66KV T/F</t>
  </si>
  <si>
    <t>220 KV Dhanaula (U/G from 66 KV) 1x100MVA, 220/66KV T/F</t>
  </si>
  <si>
    <t>220 KV Kotkapura(New) 1x100MVA, 220/66KV T/F</t>
  </si>
  <si>
    <t>220 KV S/S Khassa(Aug.)                             Addl. 1x100MVA, 220/66KV T/F</t>
  </si>
  <si>
    <t>Completed on  31.5.11</t>
  </si>
  <si>
    <t>220 KV Khassa (Aug) Exst. 1x100MVA, 220/66KV T/F Repl. with New 100MVA, 220/66KV T/F</t>
  </si>
  <si>
    <t>Commed on 31.05.11</t>
  </si>
  <si>
    <t>220KV Civil Lines Amritsar, (Aug.)                Addl.1x100MVA, 220/66KV T/F</t>
  </si>
  <si>
    <t xml:space="preserve">      Commed on   31.10.10</t>
  </si>
  <si>
    <t>220KV S/S Bangan (U/G) from 132 KV 1x100MVA, 220/66KV T/F</t>
  </si>
  <si>
    <t>220KV S/S Devigarh (U/G) from 66 KV                 1x100MVA, 220/66KV T/F</t>
  </si>
  <si>
    <t xml:space="preserve">         31.05.12</t>
  </si>
  <si>
    <t>220KV S/S Passiane U/G from 66KV                1x100MVA, 220/66KV T/F</t>
  </si>
  <si>
    <t xml:space="preserve">        30.04.12</t>
  </si>
  <si>
    <t>220KV S/S Banur U/G from 66KV               1x100MVA, 220/66KV T/F</t>
  </si>
  <si>
    <t xml:space="preserve">        30.06.12</t>
  </si>
  <si>
    <t>220KV S/S Kakrala U/G from 66KV           1x100MVA, 220/66KV T/F</t>
  </si>
  <si>
    <t>220KV S/S Lalru (Aug) 1x100MVA, 220/66KV T/F (2nd)</t>
  </si>
  <si>
    <t>220KV S/S Mohali (Aug) 1x100MVA, 220/66KV T/F (2nd)</t>
  </si>
  <si>
    <t xml:space="preserve">        31.07.12</t>
  </si>
  <si>
    <t>220 KV S/S Dhuri (Aug)           1x100MVA, 220/66KV T/F (3rd)</t>
  </si>
  <si>
    <t xml:space="preserve">        28.02.12</t>
  </si>
  <si>
    <t>220 KV Sadiq(AUG)             1x100MVA, 220/66KV T/F (2nd)</t>
  </si>
  <si>
    <t>31.07.12</t>
  </si>
  <si>
    <t xml:space="preserve">220 KV  Badshahpur (U/G) from 66KV                              1x100MVA, 220/66KV T/F (2nd) </t>
  </si>
  <si>
    <t>220 KV Nurmehal(U/G) from 132KV                               1x100MVA, 220/66KV</t>
  </si>
  <si>
    <t xml:space="preserve">220KV Kotla Jangan (Addl.)               100MVA, 220/66KV T/F  </t>
  </si>
  <si>
    <t>132KV S/S                        Part-B</t>
  </si>
  <si>
    <t xml:space="preserve">Circle </t>
  </si>
  <si>
    <t>A/68/NWSR</t>
  </si>
  <si>
    <t xml:space="preserve">         30.04.12</t>
  </si>
  <si>
    <t>Ammd 137/09-10/10-11 Sr No 138/A-S-PTA/09-10 M.No  58/59 Dt 18-01-110000</t>
  </si>
  <si>
    <t>Commd on 1.06.11</t>
  </si>
  <si>
    <t>SO&amp;C PTA M.No 1338/40 Dt 06-09-10 Sr No 6/132 KV 10-11</t>
  </si>
  <si>
    <t>Commd on 14.08.11</t>
  </si>
  <si>
    <t>3/TTN/ 2010-11 CE SO&amp;C PSTCL , Patiala</t>
  </si>
  <si>
    <t>31.05.11</t>
  </si>
  <si>
    <t>04/FDK/2010-11 CE/TL PTA Ammd 1011-12 m.no 292 dt 23-05-11</t>
  </si>
  <si>
    <t xml:space="preserve">Commd </t>
  </si>
  <si>
    <t>Amm- 14 /ASR / 2010-11 dated 4/2/2011</t>
  </si>
  <si>
    <t>SE/Plann-1 PTA Memo no 157/58 dt 18-03-11 Ammd No 22</t>
  </si>
  <si>
    <t>Commd on 25.04.11</t>
  </si>
  <si>
    <t>Non Pld</t>
  </si>
  <si>
    <t>Commd on 09.07.11</t>
  </si>
  <si>
    <t>Sr No 3/Ammd No16/PSTCL/11-12/KPT M.No 112/13 Dt 07-04-1</t>
  </si>
  <si>
    <t>Commd on 03.08.11</t>
  </si>
  <si>
    <t>Amm – 4 / JLD / 2010-11 dated 8/4/2011</t>
  </si>
  <si>
    <t>400KV S/S                         Part-C</t>
  </si>
  <si>
    <t>Sr.</t>
  </si>
  <si>
    <t>Date.Of.Commd 06/13(Balanced required funds 2300 will be consumed in13-14</t>
  </si>
  <si>
    <t>Total Capital Expenditure</t>
  </si>
  <si>
    <t>Transmission Lines</t>
  </si>
  <si>
    <t>Closing balance-Equity Capital</t>
  </si>
  <si>
    <t xml:space="preserve"> ANNUAL SCHEDULE as on 31.03.11</t>
  </si>
  <si>
    <t>SCHEME_CODE</t>
  </si>
  <si>
    <t>Category</t>
  </si>
  <si>
    <t>INTEREST NATURE</t>
  </si>
  <si>
    <t>INSTALLMENT NATURE</t>
  </si>
  <si>
    <t>LOAN_PD</t>
  </si>
  <si>
    <t>MORATORIUM_PD</t>
  </si>
  <si>
    <t>Loan sanctioned</t>
  </si>
  <si>
    <t>RELEASE DATE</t>
  </si>
  <si>
    <t>RELEASE AMOUNT</t>
  </si>
  <si>
    <t>OS BAL 31.03.10</t>
  </si>
  <si>
    <t>INSTT AMOUNT</t>
  </si>
  <si>
    <t>Loan Recd</t>
  </si>
  <si>
    <t>Loan Repaid</t>
  </si>
  <si>
    <t xml:space="preserve">Repayment 4/11 to 9/11 </t>
  </si>
  <si>
    <t>Received 01.04.11 to 30.09.11</t>
  </si>
  <si>
    <t>Balance as on 30.09.11</t>
  </si>
  <si>
    <t>REPAYMENT  START DATE</t>
  </si>
  <si>
    <t>ROI AS ON 31.08.11</t>
  </si>
  <si>
    <t>16.4.10 to 31.03.11</t>
  </si>
  <si>
    <t>Transmission 220 KVA</t>
  </si>
  <si>
    <t>QUARTERLY</t>
  </si>
  <si>
    <t>YEARLY</t>
  </si>
  <si>
    <t>23-FEB-2007</t>
  </si>
  <si>
    <t>15-FEB-2011</t>
  </si>
  <si>
    <t>02-MAR-2007</t>
  </si>
  <si>
    <t>28-MAR-2007</t>
  </si>
  <si>
    <t>01-MAY-2007</t>
  </si>
  <si>
    <t>23-MAY-2007</t>
  </si>
  <si>
    <t>18-SEP-2007</t>
  </si>
  <si>
    <t>26-SEP-2007</t>
  </si>
  <si>
    <t>05-NOV-2007</t>
  </si>
  <si>
    <t>15-NOV-2007</t>
  </si>
  <si>
    <t>12-DEC-2007</t>
  </si>
  <si>
    <t>13-MAR-2008</t>
  </si>
  <si>
    <t>05-AUG-2008</t>
  </si>
  <si>
    <t>10-OCT-2008</t>
  </si>
  <si>
    <t>07-JAN-2009</t>
  </si>
  <si>
    <t>26-FEB-2009</t>
  </si>
  <si>
    <t>02-JUN-2009</t>
  </si>
  <si>
    <t>13-AUG-2009</t>
  </si>
  <si>
    <t>28-OCT-2009</t>
  </si>
  <si>
    <t>18-JAN-2010</t>
  </si>
  <si>
    <t>19-FEB-2010</t>
  </si>
  <si>
    <t>29.06.11</t>
  </si>
  <si>
    <t>Transmission 132 KVA</t>
  </si>
  <si>
    <t>06-FEB-2008</t>
  </si>
  <si>
    <t>15-FEB-2012</t>
  </si>
  <si>
    <t>12-MAR-2008</t>
  </si>
  <si>
    <t>28-MAY-2008</t>
  </si>
  <si>
    <t>04-DEC-2008</t>
  </si>
  <si>
    <t>29-APR-2009</t>
  </si>
  <si>
    <t>17-MAR-2010</t>
  </si>
  <si>
    <t>29-AUG-2008</t>
  </si>
  <si>
    <t>18-NOV-2008</t>
  </si>
  <si>
    <t>09-SEP-2009</t>
  </si>
  <si>
    <t>27-OCT-2009</t>
  </si>
  <si>
    <t>24-DEC-2009</t>
  </si>
  <si>
    <t>23-MAR-2010</t>
  </si>
  <si>
    <t>12.8.10</t>
  </si>
  <si>
    <t>18 .8.10</t>
  </si>
  <si>
    <t>30.06.11</t>
  </si>
  <si>
    <t>31-MAR-2008</t>
  </si>
  <si>
    <t>23-JUN-2008</t>
  </si>
  <si>
    <t>30-MAR-2009</t>
  </si>
  <si>
    <t>31-AUG-2009</t>
  </si>
  <si>
    <t>31-MAR-2010</t>
  </si>
  <si>
    <t>27.05.11</t>
  </si>
  <si>
    <t>08.07.11</t>
  </si>
  <si>
    <t>19.09.11</t>
  </si>
  <si>
    <t>`</t>
  </si>
  <si>
    <t>````</t>
  </si>
  <si>
    <t xml:space="preserve"> ANNUAL SCHEDULE as on 30.09.11</t>
  </si>
  <si>
    <t>OS BAL 31.03.11</t>
  </si>
  <si>
    <t>Received 4/11 to 9/11</t>
  </si>
  <si>
    <t>ROI AS ON 30.09.11</t>
  </si>
  <si>
    <t>Talwandi Saboo</t>
  </si>
  <si>
    <t>36</t>
  </si>
  <si>
    <t>15.09.2014</t>
  </si>
  <si>
    <t>25.04.11</t>
  </si>
  <si>
    <t>21.06.11</t>
  </si>
  <si>
    <t>27.06.11</t>
  </si>
  <si>
    <t>19.07.11</t>
  </si>
  <si>
    <t>23.08.11</t>
  </si>
  <si>
    <t>22.09.11</t>
  </si>
  <si>
    <t>15.12.2014</t>
  </si>
  <si>
    <t>29.08.11</t>
  </si>
  <si>
    <t>Rajpura</t>
  </si>
  <si>
    <t>30.08.11</t>
  </si>
  <si>
    <t>15.08.2015</t>
  </si>
  <si>
    <t>10.9</t>
  </si>
  <si>
    <t>Goindwal</t>
  </si>
  <si>
    <t>15.06.2015</t>
  </si>
  <si>
    <t>Detail of Monthly Schedule as on 31.08.11</t>
  </si>
  <si>
    <t>Sr.No.</t>
  </si>
  <si>
    <t>Loan Recd From 1.4.10 to 31.03.2011</t>
  </si>
  <si>
    <t>Repayment 1.4.10 to 31.03.2011</t>
  </si>
  <si>
    <t>Closing balance as on 31.03.2011</t>
  </si>
  <si>
    <t>Repayment 4/201 to 9/2011</t>
  </si>
  <si>
    <t>Balance as 30.09.2011</t>
  </si>
  <si>
    <t>REPAYMENTSTARTDATE</t>
  </si>
  <si>
    <t xml:space="preserve">ROI </t>
  </si>
  <si>
    <t>PSI 220KVA Transmission</t>
  </si>
  <si>
    <t>MONTHLY</t>
  </si>
  <si>
    <t>31-MAR-2003</t>
  </si>
  <si>
    <t>30-APR-2006</t>
  </si>
  <si>
    <t>28-MAY-2003</t>
  </si>
  <si>
    <t>21-MAY-2003</t>
  </si>
  <si>
    <t>31-OCT-2006</t>
  </si>
  <si>
    <t>31-JAN-2010</t>
  </si>
  <si>
    <t>10-DEC-2003</t>
  </si>
  <si>
    <t>13-JAN-2004</t>
  </si>
  <si>
    <t>19-JUN-2003</t>
  </si>
  <si>
    <t>30-OCT-2003</t>
  </si>
  <si>
    <t>25-JAN-2005</t>
  </si>
  <si>
    <t>04-MAR-2005</t>
  </si>
  <si>
    <t>22-FEB-2006</t>
  </si>
  <si>
    <t>29-AUG-2006</t>
  </si>
  <si>
    <t>31-AUG-2006</t>
  </si>
  <si>
    <t>Repayment 4/2011 to 8/2011</t>
  </si>
  <si>
    <t>Received 4/11 to 8/11</t>
  </si>
  <si>
    <t>Balance as 31.08.2011</t>
  </si>
  <si>
    <t>Annual</t>
  </si>
  <si>
    <t>Quarterly</t>
  </si>
  <si>
    <t>Monthly</t>
  </si>
  <si>
    <t xml:space="preserve"> Total </t>
  </si>
  <si>
    <t>New Scheme</t>
  </si>
  <si>
    <t>Detail of EQI Schedule as on 31.08.11</t>
  </si>
  <si>
    <t>OS BAL 310310</t>
  </si>
  <si>
    <t>Loan Recd From 17.4.10 to 31.03.2011</t>
  </si>
  <si>
    <t>Repayment 17.4.10 to 31.03.11</t>
  </si>
  <si>
    <t>Balance as on 31.08.2011</t>
  </si>
  <si>
    <t>ROI AS ON 310310</t>
  </si>
  <si>
    <t>31-DEC-2004</t>
  </si>
  <si>
    <t>01-FEB-2005</t>
  </si>
  <si>
    <t>27-JAN-2006</t>
  </si>
  <si>
    <t>03-MAR-2006</t>
  </si>
  <si>
    <t>PSI 220KVA Transmission Lines</t>
  </si>
  <si>
    <t>31-MAR-2007</t>
  </si>
  <si>
    <t>19-JUL-2006</t>
  </si>
  <si>
    <t>27-SEP-2006</t>
  </si>
  <si>
    <t>20-DEC-2006</t>
  </si>
  <si>
    <t>13-FEB-2007</t>
  </si>
  <si>
    <t>04-JAN-2005</t>
  </si>
  <si>
    <t>09-JAN-2006</t>
  </si>
  <si>
    <t>21-JUN-2006</t>
  </si>
  <si>
    <t>11-SEP-2006</t>
  </si>
  <si>
    <t xml:space="preserve">                                                                   </t>
  </si>
  <si>
    <t>01-MAR-2005</t>
  </si>
  <si>
    <t>PSI 132KVA Transmission Lines</t>
  </si>
  <si>
    <t>16-FEB-2006</t>
  </si>
  <si>
    <t>30-JUN-2009</t>
  </si>
  <si>
    <t>31-MAY-2006</t>
  </si>
  <si>
    <t>24-AUG-2006</t>
  </si>
  <si>
    <t>15-NOV-2006</t>
  </si>
  <si>
    <t>18-DEC-2006</t>
  </si>
  <si>
    <t>18-FEB-2006</t>
  </si>
  <si>
    <t>Submitted By;-</t>
  </si>
  <si>
    <t>Accounts Officer/RE</t>
  </si>
  <si>
    <t>Punjab State Power Corp. Ltd. Patiala</t>
  </si>
  <si>
    <t>Mob -09646111083</t>
  </si>
  <si>
    <t>s</t>
  </si>
  <si>
    <t>eqi</t>
  </si>
  <si>
    <t>Transco</t>
  </si>
  <si>
    <t>Loan addition during FY</t>
  </si>
  <si>
    <t>Loan Repayment during FY</t>
  </si>
  <si>
    <t>Interest Capitalised</t>
  </si>
  <si>
    <t>Rate of Interest</t>
  </si>
  <si>
    <t>Ratio of A&amp;G/Opening GFA</t>
  </si>
  <si>
    <t>Annual REC Loan</t>
  </si>
  <si>
    <t>Transco REC Loan</t>
  </si>
  <si>
    <t>EQI</t>
  </si>
  <si>
    <t>Loan Reference</t>
  </si>
  <si>
    <t>Repayment Reference</t>
  </si>
  <si>
    <t>REC-M</t>
  </si>
  <si>
    <t>REC-Q</t>
  </si>
  <si>
    <t>REC-Annual</t>
  </si>
  <si>
    <t>3 years Moratorium Period</t>
  </si>
  <si>
    <t>Revenue Gap Allowed by the Commission</t>
  </si>
  <si>
    <t>Consolidated Revenue Gap for FY 2007-08 and FY 2008-09</t>
  </si>
  <si>
    <t>Revenue Gap for FY 2009-10</t>
  </si>
  <si>
    <t>Approved by the Commission</t>
  </si>
  <si>
    <t>Claimed by PSTCL in last Petition</t>
  </si>
  <si>
    <t>Total Revenue Gap</t>
  </si>
  <si>
    <t>Claim of PSTCL according to Tariff Order</t>
  </si>
  <si>
    <t>Submitted by PSPCL in the Petition</t>
  </si>
  <si>
    <t>Non-Tariff Income</t>
  </si>
  <si>
    <t>H1 + H2 (Total)</t>
  </si>
  <si>
    <t>HRA</t>
  </si>
  <si>
    <t>CPF</t>
  </si>
  <si>
    <t xml:space="preserve"> Schemes Prior to April 16, 2010</t>
  </si>
  <si>
    <t>Expenditure up to April 16, 2010</t>
  </si>
  <si>
    <t>Expenditure up to March 31, 2011 (17.4.2010 To 31.3.2011)</t>
  </si>
  <si>
    <t>Expenditure up to March 31, 2012 ( 1-4-2011 To 31.3.2012 )</t>
  </si>
  <si>
    <t>Expenditure up to March 31, 2013                       (1-4-2012 To 31-3-2013 )</t>
  </si>
  <si>
    <t>Whether Commissioned or not</t>
  </si>
  <si>
    <t>If Commissioned please mention date of Commissioning</t>
  </si>
  <si>
    <t>If not commissioned please mentioned Expected Date of Commissioning</t>
  </si>
  <si>
    <t>220 KV S/S Himmatpura (New)                100MVA 220/66KV T/F</t>
  </si>
  <si>
    <t>Yes</t>
  </si>
  <si>
    <t>12-07-2010</t>
  </si>
  <si>
    <t>220 KV S/S Rashiana (New )                                           100MVA 220/66KV T/F</t>
  </si>
  <si>
    <t>yes</t>
  </si>
  <si>
    <t>28-07-2010</t>
  </si>
  <si>
    <t xml:space="preserve">220 KV S/S Kharar (U/G) from U/G 132 KV      100MVA ,220/66KV T/F                                       </t>
  </si>
  <si>
    <t>28-7.2010</t>
  </si>
  <si>
    <t>220 KV S/S Sadiq (U/G) from 132 KV       100MVA ,220/66 KV T/F</t>
  </si>
  <si>
    <t>30-07-2010</t>
  </si>
  <si>
    <t>220 KV S/S Pakhowal (U/G) from 66KV  100MVA ,220/66KV KV T/F</t>
  </si>
  <si>
    <t>30-10-2010</t>
  </si>
  <si>
    <t>220 KV S/S F.P.Nabha(U/G) from 66KV         100MVA, 220/66KV T/F</t>
  </si>
  <si>
    <t>7-10-2010</t>
  </si>
  <si>
    <t>220 KV S/S Ferozepur Road  Ludhiana. (U/G) From 66KV 100MVA, 220/66 KV T/F</t>
  </si>
  <si>
    <t>31-01-2011</t>
  </si>
  <si>
    <t>31-3-2011</t>
  </si>
  <si>
    <t>220 KV S/S Amloh Road Mandi Gobindgarh- 3                     Addl 100 MVA 220/66</t>
  </si>
  <si>
    <t>29-4-2010</t>
  </si>
  <si>
    <t xml:space="preserve">220 KV S/S Sahnewal ( Aug) Addl. 3rd 100MVA , 220/66KV T/F </t>
  </si>
  <si>
    <t>31-11-2010</t>
  </si>
  <si>
    <t>220 KV S/S Kohara (Aug) 100MVA , 220/66KV T/F</t>
  </si>
  <si>
    <t>24-12-2010</t>
  </si>
  <si>
    <t>Doraha (U/G) (U/G From 132 KV)                      1x100MVA, 220/66KV T/F</t>
  </si>
  <si>
    <t>No</t>
  </si>
  <si>
    <t>31-12-2011</t>
  </si>
  <si>
    <t>220 KV S/S Verpal          1x100MVA 220/66KV To Rpel. 30/50MVA , 220/66Kv &amp; 20/25MVA 132/66KV T/F</t>
  </si>
  <si>
    <t>21-06-2010</t>
  </si>
  <si>
    <t xml:space="preserve">220 KV S/S Majitha       100MVA , 220/66KV T/F </t>
  </si>
  <si>
    <t>22-06.2009</t>
  </si>
  <si>
    <t>24-8-2011</t>
  </si>
  <si>
    <t xml:space="preserve">Total </t>
  </si>
  <si>
    <t>Detail of Transmission Lines for 2010-11</t>
  </si>
  <si>
    <t>Ckt Kms Added from 16.4.10 to 31.3.11</t>
  </si>
  <si>
    <t>Expenditure upto April, 2010</t>
  </si>
  <si>
    <t>Expenditure upto March 31, 2012</t>
  </si>
  <si>
    <t>Expenditure upto March 31, 2013</t>
  </si>
  <si>
    <t>Whether Commissioned please mention date of commissioning</t>
  </si>
  <si>
    <t>220 KV GHTP- Himmatpura DC                          ( 40.536 Kms 0.4 Sq")</t>
  </si>
  <si>
    <t>Commissioned</t>
  </si>
  <si>
    <t>21.6.10</t>
  </si>
  <si>
    <t>Shifting of 220 KV Lehra - Barnala line for 220 KV GHTP- Himmatpura line (Dismentlement &amp; resagging)  ( 0.75 Sq")</t>
  </si>
  <si>
    <t>LILO of 220 KV Verpal- Patti line at Tarn Taran (6.705 KM 0.4 Sq")</t>
  </si>
  <si>
    <t>9.7.10</t>
  </si>
  <si>
    <t>Resagging done for LILO arrangement of 220 KV Rashiana  ( 4.5 KM 0.4 Sq" )</t>
  </si>
  <si>
    <t>LILO of one ckt of 220 KV Moga- Mukatsar DC line at Sadiq ( 18.961 KM 0.4 Sq")</t>
  </si>
  <si>
    <t>20.12.10</t>
  </si>
  <si>
    <t>LILO of 220 KV Bhatinda- Mukatsar SC line at Malout   (24.385 KM 0.4 Sq" )</t>
  </si>
  <si>
    <t>23.2.11</t>
  </si>
  <si>
    <t>LILO of 220 KV Lalton- Humbran SC line at 220 KV FZR Rd Ludhiana  (9.562 KM 0.4 Sq"</t>
  </si>
  <si>
    <t>28.3.11</t>
  </si>
  <si>
    <t>220 KV Nalagarh- Mohali DC line            ( 55.866 Km 0.4 Sq" )</t>
  </si>
  <si>
    <t>31.5.11</t>
  </si>
  <si>
    <t>Shifting arrangement of 220 KV Mohali- Dera Bassi &amp; Mohali- Rajpura DC line for 220 KV Nalagarh- Mohali line                          ( 3.00 KM 0.4 Sq")</t>
  </si>
  <si>
    <t>LILO of one ckt of 220 KV GGSSTP- Mohali DC line at 220 KV Kharar  ( 3.230 KM 0.4 Sq")</t>
  </si>
  <si>
    <t>5.8.10</t>
  </si>
  <si>
    <t>Resagging done for LILO of 220 KV GGSSTP - Mohali line at Kharar   (2.00 KM 0.4 Sq" )</t>
  </si>
  <si>
    <t>220 KV Focal Point Nabha- Phagan Majra DC line  (3.230 KM 0.4 Sq")</t>
  </si>
  <si>
    <t>22.6.11</t>
  </si>
  <si>
    <t>LILO of 220 KV Malerkotla- Lalton SC line at 220 KV Pakhowal  (0.970 KM 0.4 Sq")</t>
  </si>
  <si>
    <t>9/10</t>
  </si>
  <si>
    <t>Resagging done for 220 KV Malerkotla- Lalton Kalan line for 220 KV Pakhowal             ( 3.00 KM 0.4 Sq")</t>
  </si>
  <si>
    <t>LILO of 220 KV Mohali- Dera Bassi line at Lalru DC                 ( 16.899 KM 0.4 Sq")</t>
  </si>
  <si>
    <t>21.5.11</t>
  </si>
  <si>
    <t xml:space="preserve">LILO of one ckt of 220 KV Sunam- Mansa line at Jhunir DC  (33.787 KM 0.4 Sq") </t>
  </si>
  <si>
    <t>20.5.11</t>
  </si>
  <si>
    <t>LILO of one ckt of existing Lalton- Sahnewal DC line at 400 KV PGCIL Ludhiana   (3.747 KM 0.4 Sq")</t>
  </si>
  <si>
    <t>7/11</t>
  </si>
  <si>
    <t>TOTAL</t>
  </si>
  <si>
    <t>220 KV (DEPOSIT WORKS)</t>
  </si>
  <si>
    <t>220 KV Mansa- M/S HPCL Mittal Energy Ltd    ( 40.575 KM 0.4 Sq" )</t>
  </si>
  <si>
    <t>10.9.2010.</t>
  </si>
  <si>
    <t>Shifting of Gantry for above line (Dismentlement &amp; resagging)  ( 2.25 KM 0.4 Sq" )</t>
  </si>
  <si>
    <t>31.5.2010.</t>
  </si>
  <si>
    <t>Break down of 220 KV Sultanpur- Patti Line  (31.48 KM 0.4 Sq" )</t>
  </si>
  <si>
    <t>24.11.2010.</t>
  </si>
  <si>
    <t>Resagging</t>
  </si>
  <si>
    <t>Modification of Rly xing of 220 KV Verpal- Patti line between TL No 45-46    (0.202 KM 0.4 Sq")</t>
  </si>
  <si>
    <t>15.3.2011.</t>
  </si>
  <si>
    <t>Shifting of 220 KV Mohali- Rajpura DC line from the land of Thermal Plant Rajpura   ( 6.346 KM 0.4 Sq" )</t>
  </si>
  <si>
    <t>1.10.10</t>
  </si>
  <si>
    <t>Resagging done for above line</t>
  </si>
  <si>
    <t>132 KV (PLANNED WORKS)</t>
  </si>
  <si>
    <t>132 KV line from 220 KV Mahilpur to 132 KV Hoshiarpur</t>
  </si>
  <si>
    <t>24.4.2011.</t>
  </si>
  <si>
    <t>Replacement of conductor of 132 KV Sultanpur- Khera mandir linr</t>
  </si>
  <si>
    <t>132 KV (DEPOSIT WORKS)</t>
  </si>
  <si>
    <t>Misc departmental works carried out</t>
  </si>
  <si>
    <t>Shifting of bays at 220 KV Verpal for 132 KV Verpal - Tarn Taran and Verpal- Naraingarh line                     ( 0.07 KM 0.2 Sq" )</t>
  </si>
  <si>
    <t>Shifting of 132 KV Dhilwan- Butari line from NH-I ( 0.6 KM 0.2 Sq" )</t>
  </si>
  <si>
    <t>Abstract of schemes prior to April 16, 2010</t>
  </si>
  <si>
    <t>All capitalised schemes have total expenditure less than project cost</t>
  </si>
  <si>
    <t>Many capitalised schemes are commissioned in FY 11 but capital expenditure spilled over to FY 12</t>
  </si>
  <si>
    <t>Total Expenditure -FY 11</t>
  </si>
  <si>
    <t>Total Expenditure -FY 12</t>
  </si>
  <si>
    <t>Data related to shifting of lines and conductors also present which has not been considered</t>
  </si>
  <si>
    <t>Outsourcing Expenses</t>
  </si>
  <si>
    <t>Name of Office</t>
  </si>
  <si>
    <t>CE/ Sub-station</t>
  </si>
  <si>
    <t>CE/ TL</t>
  </si>
  <si>
    <t>CE/ P &amp; M</t>
  </si>
  <si>
    <t>CE/ SO &amp; C</t>
  </si>
  <si>
    <t>Dir. / F &amp; C, Accounts, Audit</t>
  </si>
  <si>
    <t>Comp. Secy.</t>
  </si>
  <si>
    <t>HR/ Admin</t>
  </si>
  <si>
    <t>Data Entry Operator</t>
  </si>
  <si>
    <t>Truck Driver</t>
  </si>
  <si>
    <t>Electrician</t>
  </si>
  <si>
    <t>Skilled Workman</t>
  </si>
  <si>
    <t>Unskilled Workman</t>
  </si>
  <si>
    <t>Expenses</t>
  </si>
  <si>
    <t>DEO</t>
  </si>
  <si>
    <t>Skilled</t>
  </si>
  <si>
    <t>Unskilled</t>
  </si>
  <si>
    <t>Basic</t>
  </si>
  <si>
    <t>Service charges</t>
  </si>
  <si>
    <t>EPF</t>
  </si>
  <si>
    <t>ESIC</t>
  </si>
  <si>
    <t>Service Tax</t>
  </si>
  <si>
    <t>Total Payout</t>
  </si>
  <si>
    <t>License Fees</t>
  </si>
  <si>
    <t>ARR Petition Fees</t>
  </si>
  <si>
    <t>Escalation Factor</t>
  </si>
  <si>
    <t>Name of Post</t>
  </si>
  <si>
    <t>Number of Posts</t>
  </si>
  <si>
    <t>Pay</t>
  </si>
  <si>
    <t>DA for 3 months</t>
  </si>
  <si>
    <t>DA for 9 months</t>
  </si>
  <si>
    <t>Medical Allowance</t>
  </si>
  <si>
    <t>LOTA</t>
  </si>
  <si>
    <t>7A</t>
  </si>
  <si>
    <t>7B</t>
  </si>
  <si>
    <t>9A</t>
  </si>
  <si>
    <t>9B</t>
  </si>
  <si>
    <t>AE/ Elect.</t>
  </si>
  <si>
    <t>AE/ Civil</t>
  </si>
  <si>
    <t>JE Elect</t>
  </si>
  <si>
    <t>JE Civil</t>
  </si>
  <si>
    <t>AO</t>
  </si>
  <si>
    <t>Law Officer</t>
  </si>
  <si>
    <t>UDC (General)</t>
  </si>
  <si>
    <t>UDC (Accounts)</t>
  </si>
  <si>
    <t>SSA</t>
  </si>
  <si>
    <t>Draftsman</t>
  </si>
  <si>
    <t>Asst. Manager</t>
  </si>
  <si>
    <t>Asst. Manager/ IT</t>
  </si>
  <si>
    <t>Accountant</t>
  </si>
  <si>
    <t>Electrician Gr-II</t>
  </si>
  <si>
    <t>Total Salary per employee</t>
  </si>
  <si>
    <t>Total Salary</t>
  </si>
  <si>
    <t>Guarantee Charges</t>
  </si>
  <si>
    <t>R &amp; M Expenses on asset addition during FY</t>
  </si>
  <si>
    <t>A &amp; G Expenses on account of asset addition during FY</t>
  </si>
  <si>
    <t>Physical Progress of Transmission Lines ( Circuit Kms)</t>
  </si>
  <si>
    <t>As on April 16,2010</t>
  </si>
  <si>
    <t>Added During FY 2010-11                         ( Between April 16,2010 to March 31,2011</t>
  </si>
  <si>
    <t>As on March 31, 2011</t>
  </si>
  <si>
    <t>Added during FY 2011-12 (H1)         (Between April1, 2011 to September 30,2011 )</t>
  </si>
  <si>
    <t xml:space="preserve">As on October 1, 2011 </t>
  </si>
  <si>
    <t>Added during FY 2011-12          ( H2) (Between October 1, 2011 to March 31, 2012 )</t>
  </si>
  <si>
    <t>As on March 31,2012</t>
  </si>
  <si>
    <t>Added during FY 2012-13 ( Between March 31, 2012 to March 31, 2013 )</t>
  </si>
  <si>
    <t>As on March 31, 2013</t>
  </si>
  <si>
    <t>Single Circuit ( Single Conductor Lines )</t>
  </si>
  <si>
    <t>Double Circuit ( Single Circuit Lines )</t>
  </si>
  <si>
    <t>Single Circuit ( Twin &amp; Triple Circuit Lines )</t>
  </si>
  <si>
    <t>Double Circuit (Twin &amp; Triple  Circuit Lines )</t>
  </si>
  <si>
    <t>Single Circuit                         ( Bundled Conductor with four or more sub conductors )</t>
  </si>
  <si>
    <t>Double Circuit ( Bundled Conductor with four or more sub conductors )</t>
  </si>
  <si>
    <t>Equity addition during the year through Internal Accruals</t>
  </si>
  <si>
    <t>Capital Investment during FY</t>
  </si>
  <si>
    <t>Transferred to Assets</t>
  </si>
  <si>
    <t>Sub-station</t>
  </si>
  <si>
    <t>TSPL</t>
  </si>
  <si>
    <t>IV</t>
  </si>
  <si>
    <t>V</t>
  </si>
  <si>
    <t>Capital Expenditure-Re-calaculations</t>
  </si>
  <si>
    <t>132 kV sub-stations</t>
  </si>
  <si>
    <t>400 Kv Sub-stations</t>
  </si>
  <si>
    <t>Capitalised</t>
  </si>
  <si>
    <t>220 kV Lines executed during FY 12</t>
  </si>
  <si>
    <t>220 Kv lines executed during FY 13</t>
  </si>
  <si>
    <t>132 kV Lines executed in FY 12</t>
  </si>
  <si>
    <t>Opening WIP</t>
  </si>
  <si>
    <t>Closing WIP</t>
  </si>
  <si>
    <t>Expenditure during FY 2010-11</t>
  </si>
  <si>
    <t>Status of WIP, Capital Expenditure and Capitalisation from FY 2010-11 (As on April 16, 2010) to FY 2012-13</t>
  </si>
  <si>
    <t>Opening WIP as on April 16, 2010</t>
  </si>
  <si>
    <t>Closing WIP as on March 31, 2011</t>
  </si>
  <si>
    <t>Expenditure during FY 2011-12</t>
  </si>
  <si>
    <t>Closing WIP as on March 31, 2012</t>
  </si>
  <si>
    <t>Expenditure during FY 2012-13</t>
  </si>
  <si>
    <t>Closing WIP as on March 31, 2013</t>
  </si>
  <si>
    <t>GRAND TOTAL</t>
  </si>
  <si>
    <t>Expenditure Transferred to Assets</t>
  </si>
  <si>
    <t>FY 12 Commissioned</t>
  </si>
  <si>
    <t>FY 11 Commissioned</t>
  </si>
  <si>
    <t>Summary Capitalisation sheet</t>
  </si>
  <si>
    <t>Sub-stations</t>
  </si>
  <si>
    <t>132 kV substation</t>
  </si>
  <si>
    <t>220 kV substation</t>
  </si>
  <si>
    <t>400 Kv substation</t>
  </si>
  <si>
    <t>132 kV Transmission Lines</t>
  </si>
  <si>
    <t>220 kV Transmission Lines</t>
  </si>
  <si>
    <t>400 Kv Transmission Lines</t>
  </si>
  <si>
    <t>Auditor's Fees</t>
  </si>
  <si>
    <t>IDC</t>
  </si>
  <si>
    <t>Total Expenditure during FY 2011-12</t>
  </si>
  <si>
    <t>Total expenditure during FY 12</t>
  </si>
  <si>
    <t>Total Expenditure during FY 12</t>
  </si>
  <si>
    <r>
      <t xml:space="preserve">220KV Iklaha, </t>
    </r>
    <r>
      <rPr>
        <sz val="11"/>
        <color indexed="8"/>
        <rFont val="Times New Roman"/>
        <family val="1"/>
      </rPr>
      <t>(U/G)from 66KV 1x100MVA, 220/66KV T/F</t>
    </r>
  </si>
  <si>
    <t>Sub-total-132kV</t>
  </si>
  <si>
    <t xml:space="preserve">Sub-total-200 kV </t>
  </si>
  <si>
    <t>400 kV Sub-station</t>
  </si>
  <si>
    <t>Reference</t>
  </si>
  <si>
    <t>D=A-B-C</t>
  </si>
  <si>
    <t>(In Rs.)</t>
  </si>
  <si>
    <t>Interest capitalised</t>
  </si>
  <si>
    <t>FY 2011-12 (Estimation)</t>
  </si>
  <si>
    <t>FY 2012-13 (Projected)</t>
  </si>
  <si>
    <t>Rs. Crore</t>
  </si>
  <si>
    <t>Rs. Crore/ Month</t>
  </si>
  <si>
    <t>MW Capacity</t>
  </si>
  <si>
    <t>Proposed Transmission Tariff</t>
  </si>
  <si>
    <t>Rs./ MW/ Month</t>
  </si>
  <si>
    <t>Rs./ MW/ day</t>
  </si>
  <si>
    <t>Rs./ MW</t>
  </si>
  <si>
    <t>More than 12 hours and upto 24 hours in one block</t>
  </si>
  <si>
    <t xml:space="preserve">Long Term Open Access Charges </t>
  </si>
  <si>
    <t>B=A/12</t>
  </si>
  <si>
    <t>D=B/C</t>
  </si>
  <si>
    <t>E=D/30</t>
  </si>
  <si>
    <t>F=33.33% X E</t>
  </si>
  <si>
    <t xml:space="preserve">Short Term Open Access Charges </t>
  </si>
  <si>
    <t>G=20% X E</t>
  </si>
  <si>
    <t xml:space="preserve">Upto 6 hours in one block </t>
  </si>
  <si>
    <t>H=0.25 X G</t>
  </si>
  <si>
    <t>More than 6 hours and upto 12 hours in one block</t>
  </si>
  <si>
    <t>I=0.5 X G</t>
  </si>
  <si>
    <t>C=G</t>
  </si>
  <si>
    <t>Rs Lakh</t>
  </si>
  <si>
    <t>Estimated</t>
  </si>
  <si>
    <t>op</t>
  </si>
  <si>
    <t>cl</t>
  </si>
  <si>
    <t>FY 10-11</t>
  </si>
  <si>
    <t>FY 11-12</t>
  </si>
  <si>
    <t>FY 12-13</t>
  </si>
  <si>
    <t>400 kV</t>
  </si>
  <si>
    <t>220 kV</t>
  </si>
  <si>
    <t>132 kV and below</t>
  </si>
  <si>
    <t>Single Ckt (Single Conductor)</t>
  </si>
  <si>
    <t>Double Ckt (Single Conductor)</t>
  </si>
  <si>
    <t>Double Ckt (Twin Conductor)</t>
  </si>
  <si>
    <t>O&amp;M Expenditure  for S/s (Rs Crore)</t>
  </si>
  <si>
    <t>O&amp;M Expenditure entitlement for Substation</t>
  </si>
  <si>
    <t>O&amp;M Expenditure entitlement for AC/HVDC lines</t>
  </si>
  <si>
    <t>O&amp;M Expenditure for Transmission Lines(Rs Crore)</t>
  </si>
  <si>
    <t>CERC Norms of S/s (Rs Lakh/Bay)</t>
  </si>
  <si>
    <t>No of Bays-PSTCL</t>
  </si>
  <si>
    <t>CERC Norms of AC/HVDC lines (Rs Lakh per km)</t>
  </si>
  <si>
    <t>Transmission Lines (Ckt Km)-PSTCL</t>
  </si>
  <si>
    <t>Total O&amp;M Expenditure Entitlement (Rs Crore)</t>
  </si>
  <si>
    <t xml:space="preserve">Cumulative Revenue Requirment </t>
  </si>
  <si>
    <t xml:space="preserve">Return on Equity </t>
  </si>
  <si>
    <t>Revenue Gap Carry forward</t>
  </si>
  <si>
    <t>Revenue from Tariff</t>
  </si>
  <si>
    <t xml:space="preserve"> H1</t>
  </si>
  <si>
    <t>H2</t>
  </si>
  <si>
    <t>Less: non tariff income</t>
  </si>
  <si>
    <t>Incentive Scheme</t>
  </si>
  <si>
    <t>Revenue from tariff</t>
  </si>
  <si>
    <t>Revenue Gap/ Surplus</t>
  </si>
  <si>
    <t>Transmission Business</t>
  </si>
  <si>
    <t>SLDC Business</t>
  </si>
  <si>
    <t>Transmission &amp; SLDC Business</t>
  </si>
  <si>
    <t xml:space="preserve">Revenue Gap </t>
  </si>
  <si>
    <t>Aggregate Revenue Requirement</t>
  </si>
  <si>
    <t>FY12</t>
  </si>
  <si>
    <t>Provision for bad debts &amp; Other Debits</t>
  </si>
  <si>
    <t>less Prior Income</t>
  </si>
  <si>
    <t>Expenses towards Security of Substations</t>
  </si>
  <si>
    <t>A&amp;G expenses</t>
  </si>
  <si>
    <t>PUNJAB STATE TRANSMISSION CORPORATION LTD.</t>
  </si>
  <si>
    <t>Expenses Capitalized</t>
  </si>
  <si>
    <t xml:space="preserve">Interest &amp; Finance Charges </t>
  </si>
  <si>
    <t>Capex-FY 11</t>
  </si>
  <si>
    <t>Column Reference</t>
  </si>
  <si>
    <t>Revenue from Transmission Tariff</t>
  </si>
  <si>
    <t>Rs Crore</t>
  </si>
  <si>
    <t>66 kV bays</t>
  </si>
  <si>
    <t>No.</t>
  </si>
  <si>
    <t>Ckt.Km</t>
  </si>
  <si>
    <t>Rs Lakh/Bay</t>
  </si>
  <si>
    <t>Rs Lakh per km</t>
  </si>
  <si>
    <t>Units</t>
  </si>
  <si>
    <t>400 kV System-PSTCL</t>
  </si>
  <si>
    <t>No of Bays in S/s</t>
  </si>
  <si>
    <t>Total O&amp;M Expenditure Entitlement for 400 kV System (Rs Crore)</t>
  </si>
  <si>
    <t>Average  Monthly Salary</t>
  </si>
  <si>
    <t>Estimated for H2</t>
  </si>
  <si>
    <t xml:space="preserve">Estimated </t>
  </si>
  <si>
    <t>Estimated (H2)</t>
  </si>
  <si>
    <t>Estiamted (H2)</t>
  </si>
  <si>
    <t>Employee Expenses - New Employees</t>
  </si>
  <si>
    <t>ARR Summary</t>
  </si>
  <si>
    <t>Form - F1</t>
  </si>
  <si>
    <t>Form - F1(a)</t>
  </si>
  <si>
    <t>Form - F4</t>
  </si>
  <si>
    <t>Form - F5</t>
  </si>
  <si>
    <t>Form - F8</t>
  </si>
  <si>
    <t>Form - F9</t>
  </si>
  <si>
    <t>5=3+4</t>
  </si>
  <si>
    <t>Form - F11</t>
  </si>
  <si>
    <t>Form - F12</t>
  </si>
  <si>
    <t>Form - F14</t>
  </si>
  <si>
    <t>Form - F15</t>
  </si>
  <si>
    <t>Form - F16</t>
  </si>
  <si>
    <t>Form - F20</t>
  </si>
  <si>
    <t>Form - F21</t>
  </si>
  <si>
    <t>Form - F22</t>
  </si>
  <si>
    <t>Form - F24</t>
  </si>
  <si>
    <t>Form - F23</t>
  </si>
  <si>
    <t>Dec-March (Estimated)</t>
  </si>
  <si>
    <t>FY 2013-14</t>
  </si>
  <si>
    <t>Current Year (FY 2012-13)</t>
  </si>
  <si>
    <t>Ensuing Year (FY 2013-14)</t>
  </si>
  <si>
    <t>ANNUAL REVENUE REQUIREMENT FOR THE YEAR 2013-14</t>
  </si>
  <si>
    <t>FY 2012-13 (Availability during Current Year)</t>
  </si>
  <si>
    <t>FY 2013-14 (Availability during ensuing Year)</t>
  </si>
  <si>
    <t xml:space="preserve">Cumulative Revenue Requirement </t>
  </si>
  <si>
    <t>Revenue from Tariff &amp; OA Charges</t>
  </si>
  <si>
    <t>Leave this table</t>
  </si>
  <si>
    <t>Rs. Crore / Month</t>
  </si>
  <si>
    <t>FY 2013-14 (Projected)</t>
  </si>
  <si>
    <t xml:space="preserve">FY 2012-13 </t>
  </si>
  <si>
    <t>2013-14</t>
  </si>
  <si>
    <t>Other than Terminal Benefits</t>
  </si>
  <si>
    <t>New Employee Expenses</t>
  </si>
  <si>
    <t>R&amp;M</t>
  </si>
  <si>
    <t>Base Expenses</t>
  </si>
  <si>
    <t>Expenses for Asset Addition</t>
  </si>
  <si>
    <t>A&amp;G</t>
  </si>
  <si>
    <t>Inflation Factor</t>
  </si>
  <si>
    <t>Asset Addition</t>
  </si>
  <si>
    <t>Cls GFA</t>
  </si>
  <si>
    <t>R&amp;m</t>
  </si>
  <si>
    <t>Ratio</t>
  </si>
  <si>
    <t>FY 2013-14 (Projection)</t>
  </si>
  <si>
    <t>FY 14</t>
  </si>
  <si>
    <t>Capex</t>
  </si>
  <si>
    <t>Schedule 32</t>
  </si>
  <si>
    <t>GH 52 &amp; 53</t>
  </si>
  <si>
    <t>Op B/c</t>
  </si>
  <si>
    <t>Repay</t>
  </si>
  <si>
    <t>Inte</t>
  </si>
  <si>
    <t>Clg B/c</t>
  </si>
  <si>
    <t>Less: captilziation</t>
  </si>
  <si>
    <t>Effetive Int. Rate</t>
  </si>
  <si>
    <t>cr</t>
  </si>
  <si>
    <t>dr</t>
  </si>
  <si>
    <t>2012-13 Upto September 2012</t>
  </si>
  <si>
    <t>DA for 12 months</t>
  </si>
  <si>
    <t>Inflation</t>
  </si>
  <si>
    <t>FY 13 H1</t>
  </si>
  <si>
    <t>FY 13 H2</t>
  </si>
  <si>
    <t>FY 13 total</t>
  </si>
  <si>
    <t>Interest Rate for REC</t>
  </si>
  <si>
    <t>SBI PLR</t>
  </si>
  <si>
    <t>Tax rate</t>
  </si>
  <si>
    <t>RoE</t>
  </si>
  <si>
    <t>Post Tax</t>
  </si>
  <si>
    <t>Line Length (ckt-km)</t>
  </si>
  <si>
    <t>As on  16.04.2010</t>
  </si>
  <si>
    <t>As on 31 March 2011</t>
  </si>
  <si>
    <t>400 KV</t>
  </si>
  <si>
    <t>Number of Bays</t>
  </si>
  <si>
    <t>17-04-10 to 31-03-11</t>
  </si>
  <si>
    <t>FY 13 (H2)</t>
  </si>
  <si>
    <t>DA</t>
  </si>
  <si>
    <t>Name of post</t>
  </si>
  <si>
    <t>No of posts advertised against CRA 1/2011/PSTCL</t>
  </si>
  <si>
    <t>No. of candidates recruited till 30/09/2012</t>
  </si>
  <si>
    <t>No. of candidates to be recruited till 31/03/2013</t>
  </si>
  <si>
    <t>AE (Electrical)</t>
  </si>
  <si>
    <t>AE (Civil)</t>
  </si>
  <si>
    <t>JE (Electrical)</t>
  </si>
  <si>
    <t>JE (Civil)</t>
  </si>
  <si>
    <t>Asstt. Manager (IT)</t>
  </si>
  <si>
    <t>Asstt. Manager (HR)</t>
  </si>
  <si>
    <t>Accounts Officer</t>
  </si>
  <si>
    <t>Law Officer Gr-II</t>
  </si>
  <si>
    <t>Draftsman (Autocad) Electrical</t>
  </si>
  <si>
    <t>Draftsman (Autocad) Civil</t>
  </si>
  <si>
    <t>MA</t>
  </si>
  <si>
    <t>H2- FY 2012-13</t>
  </si>
  <si>
    <t>HRA, Fixed Medical and Other Allowances</t>
  </si>
  <si>
    <t>Commutation of Pension</t>
  </si>
  <si>
    <t>Outsourcing Exp. (incl of 400kV)</t>
  </si>
  <si>
    <t>Meter/metering equipment/service line rentals</t>
  </si>
  <si>
    <t>Customer charges</t>
  </si>
  <si>
    <t>Revenue from late payment surcharge</t>
  </si>
  <si>
    <t>Miscellaneous charges (except PLEC charges)</t>
  </si>
  <si>
    <t>Incentives from CGS's</t>
  </si>
  <si>
    <t>Interest on staff loans and advances</t>
  </si>
  <si>
    <t>Interest on advances to suppliers</t>
  </si>
  <si>
    <t>Income from trading</t>
  </si>
  <si>
    <t>Excess found on physical verification</t>
  </si>
  <si>
    <t>Interest on investments, fixed and call deposits and bank balances</t>
  </si>
  <si>
    <t>Net recovery from penalty on coal liaison agents</t>
  </si>
  <si>
    <t>Income from open access charges i.e. application fee, cross subsidy surcharge, additional surcharge, transmission and/or wheeling charges, scheduling charges etc.</t>
  </si>
  <si>
    <t>Less: Expenses Capitalised</t>
  </si>
  <si>
    <t>66kV</t>
  </si>
  <si>
    <t>Transmission Capacity</t>
  </si>
  <si>
    <t>Transmission Tariff</t>
  </si>
  <si>
    <t xml:space="preserve"> (Rs/MW/Month)</t>
  </si>
  <si>
    <t>ARR (net)</t>
  </si>
  <si>
    <t>Net amount</t>
  </si>
  <si>
    <t xml:space="preserve">Grand total </t>
  </si>
  <si>
    <t>Arrears</t>
  </si>
  <si>
    <t>Additional Working Capital Requirement On Capital Spares</t>
  </si>
  <si>
    <t>Total Working Capital (Normative)</t>
  </si>
  <si>
    <t xml:space="preserve">Total Working Capital </t>
  </si>
  <si>
    <t>AGGREGATE REVENUE REQUIREMENT FOR FY 2013-14</t>
  </si>
  <si>
    <t>Revenue gap carry-forward
 (with carrying cost)</t>
  </si>
  <si>
    <t>H1</t>
  </si>
  <si>
    <t>Total Working Capital</t>
  </si>
  <si>
    <t>Guarantee Charges payable/paid to PB. Govt.</t>
  </si>
  <si>
    <t>Less: Interest Capitalised</t>
  </si>
  <si>
    <t>Interest Expenses</t>
  </si>
  <si>
    <t>E</t>
  </si>
  <si>
    <t>D=B+C</t>
  </si>
  <si>
    <t>A= (B+D)/2</t>
  </si>
  <si>
    <t>Notation</t>
  </si>
  <si>
    <t>Capital Expenditure during FY</t>
  </si>
  <si>
    <t>Note: Hard Coded Data</t>
  </si>
  <si>
    <t>Net R&amp;M Expenses</t>
  </si>
  <si>
    <t>Net Employee Expenses</t>
  </si>
  <si>
    <t>(H1 + H2)</t>
  </si>
  <si>
    <t>400 kV Outsourcing expenses</t>
  </si>
  <si>
    <t>Outsourcing Exp.</t>
  </si>
  <si>
    <t>Technical fees &amp; Other professional charges</t>
  </si>
  <si>
    <t>E=D*C/2</t>
  </si>
  <si>
    <t>D=B/A</t>
  </si>
  <si>
    <t>Average Asset Addition during the year</t>
  </si>
  <si>
    <t>A&amp;G Expenses</t>
  </si>
  <si>
    <t>Less Capitalisation</t>
  </si>
  <si>
    <t>Ratio of R&amp;M / Opening GFA</t>
  </si>
  <si>
    <t>Asset Addition during the year</t>
  </si>
  <si>
    <t>Less capitalisation</t>
  </si>
  <si>
    <t>Employee Expenses of existing employee (a-b)</t>
  </si>
  <si>
    <t>H2 Estimated</t>
  </si>
  <si>
    <t>H1 Actuals</t>
  </si>
  <si>
    <t>Transmission Loss</t>
  </si>
  <si>
    <t>Approved for FY</t>
  </si>
  <si>
    <t>Kindly update from the latest Orders</t>
  </si>
  <si>
    <t>Order dated Dec 23, 2011</t>
  </si>
  <si>
    <t>Order dated July 16, 2012</t>
  </si>
  <si>
    <t>Tariff Order Referred</t>
  </si>
  <si>
    <t>Rajasthan</t>
  </si>
  <si>
    <t>Punjab</t>
  </si>
  <si>
    <t>4.85%*</t>
  </si>
  <si>
    <t>Not required for Maharashtra. I have the data readily available</t>
  </si>
  <si>
    <t>Order dated Sep 10, 2010</t>
  </si>
  <si>
    <t>Order dated Apr 28, 2012</t>
  </si>
  <si>
    <t>Maharashtra</t>
  </si>
  <si>
    <t>Chhattisgarh</t>
  </si>
  <si>
    <t>FY 2013-14 (Availability during Current Year)</t>
  </si>
  <si>
    <t>FY 2012-13 (Availability during Previous Year)</t>
  </si>
  <si>
    <t>Number of Sub-Stations</t>
  </si>
  <si>
    <t>Format - F17</t>
  </si>
  <si>
    <t>Format - F18</t>
  </si>
  <si>
    <t>Format - F19</t>
  </si>
  <si>
    <t>Links</t>
  </si>
  <si>
    <t>SLDC</t>
  </si>
  <si>
    <t>Transm</t>
  </si>
  <si>
    <t>gap</t>
  </si>
  <si>
    <t>cc</t>
  </si>
  <si>
    <t>Net Employee costs</t>
  </si>
  <si>
    <t>Net R&amp;M expenses</t>
  </si>
  <si>
    <t>Net A&amp;G expenses</t>
  </si>
  <si>
    <t>Interest on working capital</t>
  </si>
  <si>
    <t>Previous Year (FY 2011-12)</t>
  </si>
  <si>
    <t>IT related expenses</t>
  </si>
  <si>
    <t>As on 31.03.2014</t>
  </si>
  <si>
    <t>As on 31.03.2013</t>
  </si>
  <si>
    <t>As on 30.09.2012</t>
  </si>
  <si>
    <t>As on 31.03.2012</t>
  </si>
  <si>
    <t>Any other expenses</t>
  </si>
  <si>
    <t>Form - F 21 Detailed</t>
  </si>
  <si>
    <t>ARR Summary of Transmission and SLDC Business</t>
  </si>
  <si>
    <t>REC / Financial Institutions</t>
  </si>
  <si>
    <t>Modified ARR Summary</t>
  </si>
  <si>
    <t>GPF Loan</t>
  </si>
  <si>
    <t>Annual Revenue Requirement (SLDC)</t>
  </si>
  <si>
    <t>Ensuing Year 
(FY 2013-14)</t>
  </si>
  <si>
    <t>Net Administration and general expenses</t>
  </si>
  <si>
    <t>Cumulative Revenue Gap</t>
  </si>
  <si>
    <t>Revised Projected</t>
  </si>
  <si>
    <t>Revised Estimate</t>
  </si>
  <si>
    <t xml:space="preserve">Revised Estimated </t>
  </si>
  <si>
    <t>Current Year 2012-13</t>
  </si>
  <si>
    <t>Revised Estimated</t>
  </si>
  <si>
    <t>Revised Estimates</t>
  </si>
  <si>
    <t>Revised Projections</t>
  </si>
  <si>
    <t>Revised</t>
  </si>
  <si>
    <t>Estimates</t>
  </si>
  <si>
    <t>Projections</t>
  </si>
  <si>
    <t>H2 (Estimated)</t>
  </si>
  <si>
    <t>Actual</t>
  </si>
  <si>
    <t>Grand total</t>
  </si>
  <si>
    <t>Arrear</t>
  </si>
  <si>
    <t>Add prior period expenses</t>
  </si>
  <si>
    <t>Dearness pension</t>
  </si>
  <si>
    <t>Ex-gratia</t>
  </si>
  <si>
    <t>Commutation of pension</t>
  </si>
  <si>
    <t>Bonus/Others</t>
  </si>
  <si>
    <t>Generation incentive/LODA</t>
  </si>
  <si>
    <t>Other allowances</t>
  </si>
  <si>
    <t>Fixed medical allowance</t>
  </si>
  <si>
    <t>House rent allowance</t>
  </si>
  <si>
    <t>Dearness pay</t>
  </si>
  <si>
    <t>Salaries&amp; Allowances</t>
  </si>
  <si>
    <t>Escalation Factor for FY 12</t>
  </si>
  <si>
    <t>Projected for H2</t>
  </si>
  <si>
    <t>Estimate</t>
  </si>
  <si>
    <t>Petition</t>
  </si>
  <si>
    <t>Interest on working Capital</t>
  </si>
  <si>
    <t>ANNEXURE (1)(b)</t>
  </si>
  <si>
    <t>ANNEXURE (1)(a)</t>
  </si>
  <si>
    <t>Annexure 2(b)</t>
  </si>
  <si>
    <t>Annexure 2(a)</t>
  </si>
  <si>
    <t>Annexure 3(a)</t>
  </si>
  <si>
    <t>Annexure 3(b)</t>
  </si>
  <si>
    <t>Annexure 4</t>
  </si>
  <si>
    <t>Annexure 5(a)</t>
  </si>
  <si>
    <t>Annexure 5(b)</t>
  </si>
  <si>
    <t>Annexure 6</t>
  </si>
  <si>
    <t>Term Loan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</si>
</sst>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[$€-2]\ #,##0.00_);[Red]\([$€-2]\ #,##0.00\)"/>
    <numFmt numFmtId="165" formatCode="_-* #,##0.00_-;\-* #,##0.00_-;_-* &quot;-&quot;??_-;_-@_-"/>
    <numFmt numFmtId="166" formatCode="0.000"/>
    <numFmt numFmtId="167" formatCode="0.0"/>
    <numFmt numFmtId="168" formatCode="0_);[Red]\(0\)"/>
    <numFmt numFmtId="169" formatCode="m/d;@"/>
    <numFmt numFmtId="170" formatCode="[$-409]mmm\-yy;@"/>
    <numFmt numFmtId="171" formatCode="0.000000%"/>
    <numFmt numFmtId="172" formatCode="0.0000"/>
  </numFmts>
  <fonts count="14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/>
      <sz val="12"/>
      <color indexed="8"/>
      <name val="Times New Roman"/>
      <family val="1"/>
    </font>
    <font>
      <b/>
      <u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u/>
      <sz val="10"/>
      <color indexed="8"/>
      <name val="Bookman Old Style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/>
      <sz val="10"/>
      <color indexed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color indexed="12"/>
      <name val="Tahoma"/>
      <family val="2"/>
    </font>
    <font>
      <b/>
      <sz val="8"/>
      <color indexed="12"/>
      <name val="Tahoma"/>
      <family val="2"/>
    </font>
    <font>
      <b/>
      <sz val="11"/>
      <color indexed="12"/>
      <name val="Tahoma"/>
      <family val="2"/>
    </font>
    <font>
      <sz val="9"/>
      <color indexed="12"/>
      <name val="Tahoma"/>
      <family val="2"/>
    </font>
    <font>
      <sz val="11"/>
      <color indexed="12"/>
      <name val="Tahoma"/>
      <family val="2"/>
    </font>
    <font>
      <sz val="8"/>
      <color indexed="12"/>
      <name val="Tahoma"/>
      <family val="2"/>
    </font>
    <font>
      <b/>
      <sz val="10"/>
      <color indexed="12"/>
      <name val="Tahoma"/>
      <family val="2"/>
    </font>
    <font>
      <b/>
      <sz val="12"/>
      <color indexed="12"/>
      <name val="Tahoma"/>
      <family val="2"/>
    </font>
    <font>
      <sz val="10"/>
      <color indexed="12"/>
      <name val="Tahoma"/>
      <family val="2"/>
    </font>
    <font>
      <sz val="14"/>
      <name val="Tahoma"/>
      <family val="2"/>
    </font>
    <font>
      <b/>
      <u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theme="6" tint="-0.499984740745262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6" tint="-0.499984740745262"/>
      <name val="Arial"/>
      <family val="2"/>
    </font>
    <font>
      <sz val="8"/>
      <color rgb="FF002060"/>
      <name val="Arial"/>
      <family val="2"/>
    </font>
    <font>
      <sz val="11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6" tint="-0.499984740745262"/>
      <name val="Tahoma"/>
      <family val="2"/>
    </font>
    <font>
      <b/>
      <sz val="11"/>
      <color rgb="FFFF0000"/>
      <name val="Tahoma"/>
      <family val="2"/>
    </font>
    <font>
      <sz val="11"/>
      <color theme="6" tint="-0.499984740745262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9"/>
      <color rgb="FF00B050"/>
      <name val="Tahoma"/>
      <family val="2"/>
    </font>
    <font>
      <b/>
      <sz val="8"/>
      <color rgb="FF00B050"/>
      <name val="Tahoma"/>
      <family val="2"/>
    </font>
    <font>
      <sz val="9"/>
      <color rgb="FF00B050"/>
      <name val="Tahoma"/>
      <family val="2"/>
    </font>
    <font>
      <b/>
      <sz val="11"/>
      <color rgb="FF00B050"/>
      <name val="Tahoma"/>
      <family val="2"/>
    </font>
    <font>
      <sz val="11"/>
      <color rgb="FF00B050"/>
      <name val="Tahoma"/>
      <family val="2"/>
    </font>
    <font>
      <sz val="8"/>
      <color rgb="FF00B050"/>
      <name val="Tahoma"/>
      <family val="2"/>
    </font>
    <font>
      <b/>
      <sz val="10"/>
      <color theme="6" tint="-0.499984740745262"/>
      <name val="Tahoma"/>
      <family val="2"/>
    </font>
    <font>
      <b/>
      <sz val="10"/>
      <color rgb="FFFF0000"/>
      <name val="Tahoma"/>
      <family val="2"/>
    </font>
    <font>
      <sz val="10"/>
      <color theme="6" tint="-0.499984740745262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b/>
      <sz val="12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3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6">
    <xf numFmtId="0" fontId="0" fillId="0" borderId="0" applyAlignment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3" fillId="0" borderId="0"/>
    <xf numFmtId="0" fontId="73" fillId="0" borderId="0"/>
    <xf numFmtId="0" fontId="73" fillId="0" borderId="0"/>
    <xf numFmtId="0" fontId="73" fillId="0" borderId="0"/>
    <xf numFmtId="0" fontId="56" fillId="0" borderId="0"/>
    <xf numFmtId="0" fontId="2" fillId="0" borderId="0"/>
    <xf numFmtId="0" fontId="73" fillId="0" borderId="0"/>
    <xf numFmtId="0" fontId="52" fillId="0" borderId="0"/>
    <xf numFmtId="0" fontId="73" fillId="0" borderId="0"/>
    <xf numFmtId="0" fontId="73" fillId="0" borderId="0"/>
    <xf numFmtId="9" fontId="2" fillId="0" borderId="0" applyFont="0" applyFill="0" applyBorder="0" applyAlignment="0" applyProtection="0"/>
    <xf numFmtId="0" fontId="3" fillId="0" borderId="0" applyFont="0" applyBorder="0" applyAlignment="0" applyProtection="0"/>
    <xf numFmtId="0" fontId="73" fillId="0" borderId="0"/>
    <xf numFmtId="0" fontId="73" fillId="0" borderId="0"/>
    <xf numFmtId="0" fontId="73" fillId="0" borderId="0"/>
    <xf numFmtId="9" fontId="73" fillId="0" borderId="0" applyFont="0" applyFill="0" applyBorder="0" applyAlignment="0" applyProtection="0"/>
    <xf numFmtId="0" fontId="73" fillId="0" borderId="0" applyAlignment="0"/>
    <xf numFmtId="0" fontId="73" fillId="0" borderId="0"/>
    <xf numFmtId="0" fontId="73" fillId="0" borderId="0" applyAlignment="0"/>
    <xf numFmtId="9" fontId="2" fillId="0" borderId="0" applyFont="0" applyFill="0" applyBorder="0" applyAlignment="0" applyProtection="0"/>
    <xf numFmtId="0" fontId="73" fillId="0" borderId="0"/>
    <xf numFmtId="0" fontId="73" fillId="0" borderId="0"/>
    <xf numFmtId="9" fontId="73" fillId="0" borderId="0" applyFont="0" applyFill="0" applyBorder="0" applyAlignment="0" applyProtection="0"/>
  </cellStyleXfs>
  <cellXfs count="2734">
    <xf numFmtId="0" fontId="0" fillId="0" borderId="0" xfId="0" applyAlignment="1"/>
    <xf numFmtId="0" fontId="13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Alignment="1"/>
    <xf numFmtId="0" fontId="8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/>
    <xf numFmtId="0" fontId="8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8" fillId="0" borderId="0" xfId="0" applyFont="1"/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8" fillId="0" borderId="0" xfId="0" applyNumberFormat="1" applyFont="1" applyAlignment="1"/>
    <xf numFmtId="2" fontId="8" fillId="0" borderId="2" xfId="0" applyNumberFormat="1" applyFont="1" applyFill="1" applyBorder="1" applyAlignment="1">
      <alignment wrapText="1"/>
    </xf>
    <xf numFmtId="2" fontId="8" fillId="0" borderId="2" xfId="2" applyNumberFormat="1" applyFont="1" applyFill="1" applyBorder="1" applyAlignment="1" applyProtection="1">
      <alignment horizontal="right" vertical="center"/>
    </xf>
    <xf numFmtId="2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6" xfId="0" applyFont="1" applyBorder="1" applyAlignment="1"/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/>
    <xf numFmtId="2" fontId="7" fillId="0" borderId="17" xfId="0" applyNumberFormat="1" applyFont="1" applyBorder="1" applyAlignment="1"/>
    <xf numFmtId="2" fontId="8" fillId="0" borderId="6" xfId="0" applyNumberFormat="1" applyFont="1" applyBorder="1" applyAlignment="1"/>
    <xf numFmtId="2" fontId="7" fillId="0" borderId="19" xfId="0" applyNumberFormat="1" applyFont="1" applyBorder="1" applyAlignment="1"/>
    <xf numFmtId="0" fontId="7" fillId="2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13" fillId="0" borderId="6" xfId="0" applyNumberFormat="1" applyFont="1" applyBorder="1" applyAlignment="1"/>
    <xf numFmtId="0" fontId="8" fillId="0" borderId="0" xfId="0" applyFont="1" applyBorder="1" applyAlignment="1"/>
    <xf numFmtId="1" fontId="7" fillId="0" borderId="8" xfId="0" applyNumberFormat="1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6" xfId="0" applyFont="1" applyFill="1" applyBorder="1" applyAlignment="1"/>
    <xf numFmtId="0" fontId="7" fillId="3" borderId="17" xfId="0" applyFont="1" applyFill="1" applyBorder="1" applyAlignment="1">
      <alignment wrapText="1"/>
    </xf>
    <xf numFmtId="0" fontId="8" fillId="3" borderId="19" xfId="0" applyFont="1" applyFill="1" applyBorder="1" applyAlignment="1"/>
    <xf numFmtId="2" fontId="13" fillId="0" borderId="2" xfId="0" applyNumberFormat="1" applyFont="1" applyBorder="1" applyAlignment="1"/>
    <xf numFmtId="39" fontId="8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/>
    <xf numFmtId="0" fontId="17" fillId="0" borderId="0" xfId="0" applyFont="1"/>
    <xf numFmtId="0" fontId="18" fillId="0" borderId="0" xfId="0" applyFont="1" applyBorder="1" applyAlignment="1"/>
    <xf numFmtId="0" fontId="18" fillId="0" borderId="0" xfId="0" applyFont="1"/>
    <xf numFmtId="0" fontId="17" fillId="0" borderId="0" xfId="0" applyFont="1" applyAlignment="1"/>
    <xf numFmtId="9" fontId="17" fillId="0" borderId="0" xfId="0" applyNumberFormat="1" applyFont="1"/>
    <xf numFmtId="0" fontId="17" fillId="0" borderId="0" xfId="0" applyFont="1" applyBorder="1"/>
    <xf numFmtId="1" fontId="17" fillId="0" borderId="0" xfId="0" applyNumberFormat="1" applyFont="1" applyAlignment="1"/>
    <xf numFmtId="0" fontId="17" fillId="0" borderId="2" xfId="0" applyFont="1" applyBorder="1" applyAlignment="1">
      <alignment horizontal="center"/>
    </xf>
    <xf numFmtId="0" fontId="18" fillId="0" borderId="0" xfId="0" applyFont="1" applyAlignment="1"/>
    <xf numFmtId="2" fontId="17" fillId="0" borderId="2" xfId="0" applyNumberFormat="1" applyFont="1" applyBorder="1"/>
    <xf numFmtId="0" fontId="17" fillId="0" borderId="13" xfId="0" applyFont="1" applyBorder="1"/>
    <xf numFmtId="0" fontId="17" fillId="0" borderId="6" xfId="0" applyFont="1" applyBorder="1" applyAlignment="1">
      <alignment horizontal="right"/>
    </xf>
    <xf numFmtId="0" fontId="18" fillId="0" borderId="16" xfId="0" applyFont="1" applyBorder="1"/>
    <xf numFmtId="0" fontId="18" fillId="0" borderId="17" xfId="0" applyFont="1" applyBorder="1"/>
    <xf numFmtId="0" fontId="8" fillId="0" borderId="2" xfId="0" applyFont="1" applyBorder="1"/>
    <xf numFmtId="0" fontId="8" fillId="0" borderId="2" xfId="0" applyNumberFormat="1" applyFont="1" applyBorder="1"/>
    <xf numFmtId="49" fontId="8" fillId="0" borderId="2" xfId="0" applyNumberFormat="1" applyFont="1" applyBorder="1" applyAlignment="1">
      <alignment wrapText="1"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/>
    <xf numFmtId="49" fontId="8" fillId="0" borderId="2" xfId="0" applyNumberFormat="1" applyFont="1" applyBorder="1"/>
    <xf numFmtId="0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49" fontId="8" fillId="0" borderId="0" xfId="0" applyNumberFormat="1" applyFont="1" applyBorder="1"/>
    <xf numFmtId="49" fontId="17" fillId="0" borderId="0" xfId="0" applyNumberFormat="1" applyFont="1" applyBorder="1"/>
    <xf numFmtId="49" fontId="17" fillId="0" borderId="0" xfId="0" applyNumberFormat="1" applyFont="1"/>
    <xf numFmtId="0" fontId="7" fillId="0" borderId="0" xfId="0" applyFont="1" applyBorder="1" applyAlignment="1"/>
    <xf numFmtId="0" fontId="17" fillId="0" borderId="0" xfId="0" applyFont="1" applyBorder="1" applyAlignment="1"/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/>
    </xf>
    <xf numFmtId="49" fontId="8" fillId="0" borderId="20" xfId="0" applyNumberFormat="1" applyFont="1" applyBorder="1"/>
    <xf numFmtId="0" fontId="7" fillId="0" borderId="13" xfId="0" applyFont="1" applyBorder="1" applyAlignment="1">
      <alignment horizontal="center"/>
    </xf>
    <xf numFmtId="0" fontId="8" fillId="0" borderId="6" xfId="0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8" fillId="0" borderId="6" xfId="0" applyFont="1" applyBorder="1" applyAlignment="1">
      <alignment vertical="center"/>
    </xf>
    <xf numFmtId="0" fontId="8" fillId="0" borderId="13" xfId="0" applyNumberFormat="1" applyFont="1" applyBorder="1"/>
    <xf numFmtId="49" fontId="8" fillId="0" borderId="6" xfId="0" applyNumberFormat="1" applyFont="1" applyBorder="1"/>
    <xf numFmtId="49" fontId="8" fillId="0" borderId="13" xfId="0" applyNumberFormat="1" applyFont="1" applyBorder="1"/>
    <xf numFmtId="49" fontId="8" fillId="0" borderId="16" xfId="0" applyNumberFormat="1" applyFont="1" applyBorder="1"/>
    <xf numFmtId="49" fontId="8" fillId="0" borderId="17" xfId="0" applyNumberFormat="1" applyFont="1" applyBorder="1"/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49" fontId="8" fillId="0" borderId="19" xfId="0" applyNumberFormat="1" applyFont="1" applyBorder="1"/>
    <xf numFmtId="2" fontId="18" fillId="0" borderId="2" xfId="0" applyNumberFormat="1" applyFont="1" applyBorder="1"/>
    <xf numFmtId="0" fontId="7" fillId="2" borderId="1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7" fillId="2" borderId="18" xfId="0" applyFont="1" applyFill="1" applyBorder="1"/>
    <xf numFmtId="2" fontId="8" fillId="0" borderId="2" xfId="0" applyNumberFormat="1" applyFont="1" applyBorder="1"/>
    <xf numFmtId="0" fontId="18" fillId="2" borderId="1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6" fillId="0" borderId="0" xfId="0" applyFont="1" applyAlignment="1"/>
    <xf numFmtId="2" fontId="8" fillId="0" borderId="6" xfId="0" applyNumberFormat="1" applyFont="1" applyBorder="1" applyAlignment="1">
      <alignment vertical="center" wrapText="1"/>
    </xf>
    <xf numFmtId="2" fontId="7" fillId="0" borderId="17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/>
    <xf numFmtId="0" fontId="7" fillId="0" borderId="13" xfId="0" applyFont="1" applyBorder="1"/>
    <xf numFmtId="2" fontId="7" fillId="0" borderId="2" xfId="0" applyNumberFormat="1" applyFont="1" applyBorder="1"/>
    <xf numFmtId="2" fontId="7" fillId="0" borderId="6" xfId="0" applyNumberFormat="1" applyFont="1" applyBorder="1"/>
    <xf numFmtId="0" fontId="17" fillId="0" borderId="2" xfId="0" applyFont="1" applyBorder="1" applyAlignment="1"/>
    <xf numFmtId="2" fontId="17" fillId="0" borderId="2" xfId="0" applyNumberFormat="1" applyFont="1" applyBorder="1" applyAlignment="1"/>
    <xf numFmtId="1" fontId="17" fillId="0" borderId="2" xfId="0" applyNumberFormat="1" applyFont="1" applyBorder="1" applyAlignment="1"/>
    <xf numFmtId="2" fontId="18" fillId="0" borderId="2" xfId="0" applyNumberFormat="1" applyFont="1" applyBorder="1" applyAlignment="1"/>
    <xf numFmtId="0" fontId="17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horizontal="center"/>
    </xf>
    <xf numFmtId="0" fontId="17" fillId="0" borderId="6" xfId="0" applyFont="1" applyBorder="1" applyAlignment="1"/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/>
    <xf numFmtId="2" fontId="8" fillId="3" borderId="2" xfId="0" applyNumberFormat="1" applyFont="1" applyFill="1" applyBorder="1" applyAlignment="1">
      <alignment wrapText="1"/>
    </xf>
    <xf numFmtId="0" fontId="18" fillId="2" borderId="2" xfId="0" applyFont="1" applyFill="1" applyBorder="1" applyAlignment="1"/>
    <xf numFmtId="0" fontId="7" fillId="0" borderId="0" xfId="0" applyFont="1" applyFill="1" applyBorder="1" applyAlignment="1" applyProtection="1">
      <alignment vertical="center" wrapText="1"/>
      <protection locked="0"/>
    </xf>
    <xf numFmtId="2" fontId="8" fillId="0" borderId="6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right" wrapText="1"/>
    </xf>
    <xf numFmtId="2" fontId="8" fillId="0" borderId="15" xfId="0" applyNumberFormat="1" applyFont="1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43" fontId="8" fillId="0" borderId="15" xfId="0" applyNumberFormat="1" applyFont="1" applyBorder="1" applyAlignment="1">
      <alignment horizontal="right" wrapText="1"/>
    </xf>
    <xf numFmtId="43" fontId="8" fillId="0" borderId="6" xfId="0" applyNumberFormat="1" applyFont="1" applyBorder="1" applyAlignment="1">
      <alignment horizontal="right"/>
    </xf>
    <xf numFmtId="2" fontId="7" fillId="3" borderId="8" xfId="0" applyNumberFormat="1" applyFont="1" applyFill="1" applyBorder="1" applyAlignment="1">
      <alignment horizontal="right" wrapText="1"/>
    </xf>
    <xf numFmtId="43" fontId="7" fillId="0" borderId="21" xfId="0" applyNumberFormat="1" applyFont="1" applyBorder="1" applyAlignment="1">
      <alignment horizontal="right" wrapText="1"/>
    </xf>
    <xf numFmtId="2" fontId="7" fillId="0" borderId="19" xfId="0" applyNumberFormat="1" applyFont="1" applyBorder="1" applyAlignment="1">
      <alignment horizontal="right"/>
    </xf>
    <xf numFmtId="10" fontId="8" fillId="0" borderId="0" xfId="13" applyNumberFormat="1" applyFont="1" applyAlignment="1"/>
    <xf numFmtId="0" fontId="8" fillId="0" borderId="16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right" vertical="center"/>
    </xf>
    <xf numFmtId="2" fontId="17" fillId="0" borderId="0" xfId="0" applyNumberFormat="1" applyFont="1" applyAlignment="1"/>
    <xf numFmtId="0" fontId="17" fillId="0" borderId="13" xfId="0" applyFont="1" applyBorder="1" applyAlignment="1"/>
    <xf numFmtId="0" fontId="17" fillId="0" borderId="16" xfId="0" applyFont="1" applyBorder="1" applyAlignment="1"/>
    <xf numFmtId="0" fontId="17" fillId="0" borderId="2" xfId="0" applyFont="1" applyBorder="1" applyAlignment="1">
      <alignment horizontal="right"/>
    </xf>
    <xf numFmtId="2" fontId="17" fillId="0" borderId="2" xfId="0" applyNumberFormat="1" applyFont="1" applyBorder="1" applyAlignment="1">
      <alignment horizontal="right"/>
    </xf>
    <xf numFmtId="2" fontId="18" fillId="0" borderId="17" xfId="0" applyNumberFormat="1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2" fontId="8" fillId="0" borderId="2" xfId="0" applyNumberFormat="1" applyFont="1" applyFill="1" applyBorder="1" applyAlignment="1"/>
    <xf numFmtId="2" fontId="8" fillId="0" borderId="6" xfId="0" applyNumberFormat="1" applyFont="1" applyFill="1" applyBorder="1" applyAlignment="1"/>
    <xf numFmtId="0" fontId="19" fillId="0" borderId="0" xfId="0" applyFont="1" applyAlignment="1"/>
    <xf numFmtId="2" fontId="19" fillId="0" borderId="0" xfId="0" applyNumberFormat="1" applyFont="1" applyAlignment="1"/>
    <xf numFmtId="2" fontId="17" fillId="0" borderId="0" xfId="0" applyNumberFormat="1" applyFont="1"/>
    <xf numFmtId="0" fontId="7" fillId="4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7" fillId="0" borderId="25" xfId="0" applyFont="1" applyBorder="1" applyAlignment="1"/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2" fontId="7" fillId="0" borderId="19" xfId="0" applyNumberFormat="1" applyFont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9" fontId="8" fillId="0" borderId="0" xfId="0" applyNumberFormat="1" applyFont="1" applyBorder="1" applyAlignment="1"/>
    <xf numFmtId="0" fontId="8" fillId="0" borderId="16" xfId="0" applyFont="1" applyBorder="1" applyAlignment="1">
      <alignment horizontal="center" vertical="center" wrapText="1"/>
    </xf>
    <xf numFmtId="39" fontId="7" fillId="0" borderId="17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wrapText="1"/>
    </xf>
    <xf numFmtId="2" fontId="17" fillId="0" borderId="6" xfId="0" applyNumberFormat="1" applyFont="1" applyBorder="1" applyAlignment="1"/>
    <xf numFmtId="2" fontId="17" fillId="0" borderId="17" xfId="0" applyNumberFormat="1" applyFont="1" applyBorder="1" applyAlignment="1"/>
    <xf numFmtId="2" fontId="17" fillId="0" borderId="19" xfId="0" applyNumberFormat="1" applyFont="1" applyBorder="1" applyAlignment="1"/>
    <xf numFmtId="2" fontId="8" fillId="0" borderId="1" xfId="0" applyNumberFormat="1" applyFont="1" applyBorder="1" applyAlignment="1">
      <alignment wrapText="1"/>
    </xf>
    <xf numFmtId="0" fontId="17" fillId="0" borderId="2" xfId="0" applyFont="1" applyBorder="1" applyAlignment="1">
      <alignment horizontal="left"/>
    </xf>
    <xf numFmtId="2" fontId="18" fillId="0" borderId="2" xfId="0" applyNumberFormat="1" applyFont="1" applyBorder="1" applyAlignment="1">
      <alignment horizontal="right"/>
    </xf>
    <xf numFmtId="1" fontId="17" fillId="0" borderId="2" xfId="0" applyNumberFormat="1" applyFont="1" applyBorder="1" applyAlignment="1">
      <alignment horizontal="left"/>
    </xf>
    <xf numFmtId="1" fontId="17" fillId="0" borderId="0" xfId="0" applyNumberFormat="1" applyFont="1" applyAlignment="1">
      <alignment vertical="center" wrapText="1"/>
    </xf>
    <xf numFmtId="1" fontId="17" fillId="0" borderId="0" xfId="0" applyNumberFormat="1" applyFont="1"/>
    <xf numFmtId="0" fontId="17" fillId="0" borderId="12" xfId="0" applyFont="1" applyBorder="1" applyAlignment="1"/>
    <xf numFmtId="0" fontId="17" fillId="0" borderId="3" xfId="0" applyFont="1" applyBorder="1" applyAlignment="1"/>
    <xf numFmtId="0" fontId="17" fillId="0" borderId="18" xfId="0" applyFont="1" applyBorder="1" applyAlignment="1"/>
    <xf numFmtId="2" fontId="18" fillId="0" borderId="17" xfId="0" applyNumberFormat="1" applyFont="1" applyBorder="1" applyAlignment="1"/>
    <xf numFmtId="2" fontId="18" fillId="0" borderId="19" xfId="0" applyNumberFormat="1" applyFont="1" applyBorder="1" applyAlignment="1"/>
    <xf numFmtId="1" fontId="17" fillId="0" borderId="3" xfId="0" applyNumberFormat="1" applyFont="1" applyBorder="1" applyAlignment="1"/>
    <xf numFmtId="2" fontId="18" fillId="0" borderId="6" xfId="0" applyNumberFormat="1" applyFont="1" applyBorder="1" applyAlignment="1"/>
    <xf numFmtId="0" fontId="18" fillId="0" borderId="16" xfId="0" applyFont="1" applyBorder="1" applyAlignment="1"/>
    <xf numFmtId="0" fontId="18" fillId="2" borderId="2" xfId="0" applyFont="1" applyFill="1" applyBorder="1" applyAlignment="1">
      <alignment horizontal="left"/>
    </xf>
    <xf numFmtId="2" fontId="17" fillId="0" borderId="2" xfId="0" applyNumberFormat="1" applyFont="1" applyFill="1" applyBorder="1" applyAlignment="1"/>
    <xf numFmtId="2" fontId="18" fillId="0" borderId="2" xfId="0" applyNumberFormat="1" applyFont="1" applyFill="1" applyBorder="1" applyAlignment="1"/>
    <xf numFmtId="0" fontId="17" fillId="0" borderId="2" xfId="0" applyFont="1" applyFill="1" applyBorder="1"/>
    <xf numFmtId="2" fontId="17" fillId="0" borderId="2" xfId="0" applyNumberFormat="1" applyFont="1" applyFill="1" applyBorder="1" applyAlignment="1">
      <alignment horizontal="right"/>
    </xf>
    <xf numFmtId="0" fontId="18" fillId="2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/>
    <xf numFmtId="0" fontId="17" fillId="5" borderId="0" xfId="0" applyFont="1" applyFill="1" applyAlignment="1"/>
    <xf numFmtId="1" fontId="17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0" fontId="17" fillId="6" borderId="2" xfId="0" applyFont="1" applyFill="1" applyBorder="1" applyAlignment="1">
      <alignment vertical="center" wrapText="1"/>
    </xf>
    <xf numFmtId="1" fontId="18" fillId="6" borderId="2" xfId="0" applyNumberFormat="1" applyFont="1" applyFill="1" applyBorder="1" applyAlignment="1"/>
    <xf numFmtId="0" fontId="17" fillId="0" borderId="2" xfId="0" applyFont="1" applyFill="1" applyBorder="1" applyAlignment="1">
      <alignment vertical="center" wrapText="1"/>
    </xf>
    <xf numFmtId="2" fontId="18" fillId="0" borderId="6" xfId="0" applyNumberFormat="1" applyFont="1" applyFill="1" applyBorder="1" applyAlignment="1"/>
    <xf numFmtId="1" fontId="17" fillId="6" borderId="2" xfId="0" applyNumberFormat="1" applyFont="1" applyFill="1" applyBorder="1" applyAlignment="1"/>
    <xf numFmtId="2" fontId="17" fillId="0" borderId="6" xfId="0" applyNumberFormat="1" applyFont="1" applyFill="1" applyBorder="1" applyAlignment="1"/>
    <xf numFmtId="0" fontId="17" fillId="0" borderId="2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20" fillId="0" borderId="13" xfId="0" applyFont="1" applyBorder="1" applyAlignment="1"/>
    <xf numFmtId="0" fontId="18" fillId="0" borderId="13" xfId="0" applyFont="1" applyBorder="1" applyAlignment="1"/>
    <xf numFmtId="2" fontId="17" fillId="0" borderId="28" xfId="0" applyNumberFormat="1" applyFont="1" applyBorder="1" applyAlignment="1"/>
    <xf numFmtId="0" fontId="20" fillId="0" borderId="16" xfId="0" applyFont="1" applyBorder="1" applyAlignment="1"/>
    <xf numFmtId="0" fontId="8" fillId="0" borderId="0" xfId="0" applyFont="1" applyBorder="1" applyAlignment="1">
      <alignment horizontal="justify" vertical="distributed"/>
    </xf>
    <xf numFmtId="0" fontId="7" fillId="0" borderId="2" xfId="0" applyFont="1" applyBorder="1" applyAlignment="1">
      <alignment horizontal="justify" vertical="distributed"/>
    </xf>
    <xf numFmtId="49" fontId="7" fillId="0" borderId="2" xfId="0" applyNumberFormat="1" applyFont="1" applyBorder="1" applyAlignment="1">
      <alignment horizontal="justify" vertical="distributed"/>
    </xf>
    <xf numFmtId="0" fontId="13" fillId="0" borderId="2" xfId="0" applyNumberFormat="1" applyFont="1" applyBorder="1" applyAlignment="1">
      <alignment horizontal="justify" vertical="distributed"/>
    </xf>
    <xf numFmtId="0" fontId="13" fillId="0" borderId="2" xfId="0" applyFont="1" applyBorder="1" applyAlignment="1">
      <alignment horizontal="justify" vertical="distributed"/>
    </xf>
    <xf numFmtId="2" fontId="13" fillId="0" borderId="2" xfId="0" applyNumberFormat="1" applyFont="1" applyBorder="1" applyAlignment="1">
      <alignment horizontal="justify" vertical="distributed"/>
    </xf>
    <xf numFmtId="49" fontId="13" fillId="0" borderId="2" xfId="0" applyNumberFormat="1" applyFont="1" applyBorder="1" applyAlignment="1">
      <alignment horizontal="justify" vertical="distributed"/>
    </xf>
    <xf numFmtId="2" fontId="8" fillId="0" borderId="2" xfId="0" applyNumberFormat="1" applyFont="1" applyBorder="1" applyAlignment="1">
      <alignment horizontal="justify" vertical="distributed"/>
    </xf>
    <xf numFmtId="0" fontId="8" fillId="0" borderId="2" xfId="0" applyFont="1" applyBorder="1" applyAlignment="1">
      <alignment horizontal="justify" vertical="distributed"/>
    </xf>
    <xf numFmtId="0" fontId="11" fillId="0" borderId="2" xfId="0" applyFont="1" applyBorder="1" applyAlignment="1">
      <alignment horizontal="justify" vertical="distributed"/>
    </xf>
    <xf numFmtId="2" fontId="11" fillId="0" borderId="2" xfId="0" applyNumberFormat="1" applyFont="1" applyBorder="1" applyAlignment="1">
      <alignment horizontal="justify" vertical="distributed"/>
    </xf>
    <xf numFmtId="0" fontId="13" fillId="0" borderId="2" xfId="0" applyFont="1" applyFill="1" applyBorder="1" applyAlignment="1">
      <alignment horizontal="justify" vertical="distributed"/>
    </xf>
    <xf numFmtId="0" fontId="8" fillId="0" borderId="2" xfId="0" applyNumberFormat="1" applyFont="1" applyBorder="1" applyAlignment="1">
      <alignment horizontal="justify" vertical="distributed"/>
    </xf>
    <xf numFmtId="49" fontId="8" fillId="0" borderId="2" xfId="0" applyNumberFormat="1" applyFont="1" applyBorder="1" applyAlignment="1">
      <alignment horizontal="justify" vertical="distributed"/>
    </xf>
    <xf numFmtId="0" fontId="8" fillId="0" borderId="2" xfId="0" applyFont="1" applyFill="1" applyBorder="1" applyAlignment="1">
      <alignment horizontal="justify" vertical="distributed"/>
    </xf>
    <xf numFmtId="0" fontId="17" fillId="0" borderId="2" xfId="0" applyFont="1" applyBorder="1" applyAlignment="1">
      <alignment horizontal="justify" vertical="distributed"/>
    </xf>
    <xf numFmtId="0" fontId="8" fillId="0" borderId="2" xfId="0" applyNumberFormat="1" applyFont="1" applyBorder="1" applyAlignment="1">
      <alignment horizontal="justify" vertical="distributed" wrapText="1"/>
    </xf>
    <xf numFmtId="2" fontId="6" fillId="0" borderId="2" xfId="0" applyNumberFormat="1" applyFont="1" applyBorder="1" applyAlignment="1">
      <alignment horizontal="justify" vertical="distributed"/>
    </xf>
    <xf numFmtId="0" fontId="6" fillId="0" borderId="2" xfId="0" applyFont="1" applyBorder="1" applyAlignment="1">
      <alignment horizontal="justify" vertical="distributed"/>
    </xf>
    <xf numFmtId="0" fontId="8" fillId="0" borderId="2" xfId="0" applyFont="1" applyBorder="1" applyAlignment="1">
      <alignment horizontal="justify" vertical="distributed" wrapText="1"/>
    </xf>
    <xf numFmtId="2" fontId="8" fillId="0" borderId="2" xfId="0" applyNumberFormat="1" applyFont="1" applyBorder="1" applyAlignment="1">
      <alignment horizontal="justify" vertical="distributed" wrapText="1"/>
    </xf>
    <xf numFmtId="49" fontId="8" fillId="0" borderId="2" xfId="0" applyNumberFormat="1" applyFont="1" applyBorder="1" applyAlignment="1">
      <alignment horizontal="justify" vertical="distributed" wrapText="1"/>
    </xf>
    <xf numFmtId="0" fontId="8" fillId="0" borderId="2" xfId="0" applyFont="1" applyFill="1" applyBorder="1" applyAlignment="1">
      <alignment horizontal="justify" vertical="distributed" wrapText="1"/>
    </xf>
    <xf numFmtId="2" fontId="7" fillId="0" borderId="2" xfId="0" applyNumberFormat="1" applyFont="1" applyBorder="1" applyAlignment="1">
      <alignment horizontal="justify" vertical="distributed"/>
    </xf>
    <xf numFmtId="0" fontId="7" fillId="0" borderId="0" xfId="0" applyFont="1" applyBorder="1" applyAlignment="1">
      <alignment horizontal="justify" vertical="distributed"/>
    </xf>
    <xf numFmtId="2" fontId="8" fillId="0" borderId="0" xfId="0" applyNumberFormat="1" applyFont="1" applyBorder="1" applyAlignment="1">
      <alignment horizontal="justify" vertical="distributed"/>
    </xf>
    <xf numFmtId="0" fontId="16" fillId="0" borderId="0" xfId="0" applyFont="1" applyBorder="1" applyAlignment="1">
      <alignment horizontal="justify" vertical="distributed"/>
    </xf>
    <xf numFmtId="2" fontId="7" fillId="0" borderId="0" xfId="0" applyNumberFormat="1" applyFont="1" applyBorder="1" applyAlignment="1">
      <alignment horizontal="justify" vertical="distributed"/>
    </xf>
    <xf numFmtId="0" fontId="13" fillId="0" borderId="2" xfId="0" applyFont="1" applyBorder="1" applyAlignment="1">
      <alignment horizontal="justify" vertical="distributed" wrapText="1"/>
    </xf>
    <xf numFmtId="0" fontId="13" fillId="0" borderId="2" xfId="0" quotePrefix="1" applyFont="1" applyBorder="1" applyAlignment="1">
      <alignment horizontal="justify" vertical="distributed" wrapText="1"/>
    </xf>
    <xf numFmtId="2" fontId="13" fillId="0" borderId="2" xfId="0" applyNumberFormat="1" applyFont="1" applyBorder="1" applyAlignment="1">
      <alignment horizontal="justify" vertical="distributed" wrapText="1"/>
    </xf>
    <xf numFmtId="0" fontId="7" fillId="2" borderId="2" xfId="0" applyFont="1" applyFill="1" applyBorder="1" applyAlignment="1">
      <alignment horizontal="justify" vertical="distributed"/>
    </xf>
    <xf numFmtId="0" fontId="7" fillId="2" borderId="2" xfId="0" applyFont="1" applyFill="1" applyBorder="1" applyAlignment="1">
      <alignment horizontal="justify" vertical="distributed" wrapText="1"/>
    </xf>
    <xf numFmtId="0" fontId="21" fillId="2" borderId="2" xfId="0" applyFont="1" applyFill="1" applyBorder="1" applyAlignment="1">
      <alignment horizontal="justify" vertical="center"/>
    </xf>
    <xf numFmtId="0" fontId="21" fillId="2" borderId="2" xfId="0" applyFont="1" applyFill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justify" vertical="distributed"/>
    </xf>
    <xf numFmtId="0" fontId="8" fillId="7" borderId="2" xfId="0" applyFont="1" applyFill="1" applyBorder="1" applyAlignment="1">
      <alignment horizontal="justify" vertical="distributed"/>
    </xf>
    <xf numFmtId="0" fontId="13" fillId="0" borderId="2" xfId="0" applyFont="1" applyFill="1" applyBorder="1" applyAlignment="1">
      <alignment horizontal="justify" vertical="distributed" wrapText="1"/>
    </xf>
    <xf numFmtId="0" fontId="7" fillId="0" borderId="0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74" fillId="0" borderId="2" xfId="0" applyFont="1" applyBorder="1" applyAlignment="1">
      <alignment horizontal="center"/>
    </xf>
    <xf numFmtId="0" fontId="74" fillId="1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2" xfId="0" applyFont="1" applyBorder="1" applyAlignment="1"/>
    <xf numFmtId="0" fontId="7" fillId="10" borderId="2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8" fillId="0" borderId="19" xfId="0" applyFont="1" applyBorder="1" applyAlignment="1"/>
    <xf numFmtId="0" fontId="7" fillId="10" borderId="29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wrapText="1"/>
    </xf>
    <xf numFmtId="0" fontId="7" fillId="10" borderId="13" xfId="0" applyFont="1" applyFill="1" applyBorder="1" applyAlignment="1">
      <alignment horizontal="center" wrapText="1"/>
    </xf>
    <xf numFmtId="0" fontId="7" fillId="10" borderId="36" xfId="0" applyFont="1" applyFill="1" applyBorder="1" applyAlignment="1">
      <alignment horizontal="center" vertical="center" wrapText="1"/>
    </xf>
    <xf numFmtId="0" fontId="7" fillId="10" borderId="37" xfId="0" applyFont="1" applyFill="1" applyBorder="1" applyAlignment="1">
      <alignment horizontal="center" vertical="center" wrapText="1"/>
    </xf>
    <xf numFmtId="0" fontId="74" fillId="0" borderId="2" xfId="0" applyFont="1" applyBorder="1" applyAlignment="1"/>
    <xf numFmtId="0" fontId="0" fillId="0" borderId="2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6" xfId="0" applyBorder="1" applyAlignment="1"/>
    <xf numFmtId="0" fontId="74" fillId="0" borderId="13" xfId="0" applyFont="1" applyBorder="1" applyAlignment="1">
      <alignment horizontal="center"/>
    </xf>
    <xf numFmtId="0" fontId="74" fillId="0" borderId="6" xfId="0" applyFont="1" applyBorder="1" applyAlignment="1"/>
    <xf numFmtId="0" fontId="0" fillId="0" borderId="13" xfId="0" applyBorder="1" applyAlignment="1"/>
    <xf numFmtId="0" fontId="74" fillId="0" borderId="16" xfId="0" applyFont="1" applyBorder="1" applyAlignment="1">
      <alignment horizontal="center"/>
    </xf>
    <xf numFmtId="0" fontId="74" fillId="0" borderId="17" xfId="0" applyFont="1" applyBorder="1" applyAlignment="1"/>
    <xf numFmtId="0" fontId="74" fillId="0" borderId="19" xfId="0" applyFont="1" applyBorder="1" applyAlignment="1"/>
    <xf numFmtId="0" fontId="0" fillId="0" borderId="38" xfId="0" applyBorder="1" applyAlignment="1">
      <alignment horizontal="center"/>
    </xf>
    <xf numFmtId="0" fontId="0" fillId="0" borderId="20" xfId="0" applyBorder="1" applyAlignment="1"/>
    <xf numFmtId="0" fontId="0" fillId="0" borderId="20" xfId="0" applyBorder="1" applyAlignment="1">
      <alignment horizontal="center"/>
    </xf>
    <xf numFmtId="0" fontId="0" fillId="0" borderId="39" xfId="0" applyBorder="1" applyAlignment="1"/>
    <xf numFmtId="0" fontId="74" fillId="10" borderId="40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vertical="center"/>
    </xf>
    <xf numFmtId="0" fontId="74" fillId="10" borderId="41" xfId="0" applyFont="1" applyFill="1" applyBorder="1" applyAlignment="1">
      <alignment horizontal="center" vertical="center" wrapText="1"/>
    </xf>
    <xf numFmtId="0" fontId="74" fillId="10" borderId="42" xfId="0" applyFont="1" applyFill="1" applyBorder="1" applyAlignment="1">
      <alignment wrapText="1"/>
    </xf>
    <xf numFmtId="0" fontId="0" fillId="0" borderId="0" xfId="0" applyFill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9" xfId="0" applyBorder="1" applyAlignment="1"/>
    <xf numFmtId="0" fontId="0" fillId="0" borderId="20" xfId="0" applyBorder="1" applyAlignment="1">
      <alignment wrapText="1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7" fillId="0" borderId="17" xfId="0" applyNumberFormat="1" applyFont="1" applyFill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4" fillId="0" borderId="16" xfId="0" applyFont="1" applyFill="1" applyBorder="1" applyAlignment="1">
      <alignment horizontal="center"/>
    </xf>
    <xf numFmtId="0" fontId="74" fillId="0" borderId="17" xfId="0" applyFont="1" applyFill="1" applyBorder="1" applyAlignment="1"/>
    <xf numFmtId="166" fontId="0" fillId="0" borderId="2" xfId="0" applyNumberFormat="1" applyBorder="1" applyAlignment="1">
      <alignment horizontal="center"/>
    </xf>
    <xf numFmtId="0" fontId="74" fillId="0" borderId="2" xfId="0" applyFont="1" applyBorder="1" applyAlignment="1">
      <alignment wrapText="1"/>
    </xf>
    <xf numFmtId="0" fontId="74" fillId="0" borderId="16" xfId="0" applyFont="1" applyBorder="1" applyAlignment="1"/>
    <xf numFmtId="0" fontId="74" fillId="0" borderId="17" xfId="0" applyFont="1" applyBorder="1" applyAlignment="1">
      <alignment wrapText="1"/>
    </xf>
    <xf numFmtId="2" fontId="8" fillId="0" borderId="2" xfId="0" applyNumberFormat="1" applyFont="1" applyBorder="1" applyAlignment="1">
      <alignment horizontal="center" vertical="center"/>
    </xf>
    <xf numFmtId="2" fontId="0" fillId="0" borderId="0" xfId="0" applyNumberFormat="1" applyAlignment="1"/>
    <xf numFmtId="0" fontId="13" fillId="0" borderId="2" xfId="0" applyFont="1" applyBorder="1" applyAlignment="1"/>
    <xf numFmtId="0" fontId="6" fillId="0" borderId="2" xfId="0" applyFont="1" applyBorder="1" applyAlignment="1"/>
    <xf numFmtId="0" fontId="13" fillId="0" borderId="6" xfId="0" applyFont="1" applyBorder="1" applyAlignment="1"/>
    <xf numFmtId="0" fontId="13" fillId="0" borderId="17" xfId="0" applyFont="1" applyBorder="1" applyAlignment="1"/>
    <xf numFmtId="0" fontId="13" fillId="0" borderId="19" xfId="0" applyFont="1" applyBorder="1" applyAlignment="1"/>
    <xf numFmtId="0" fontId="13" fillId="0" borderId="36" xfId="0" applyFont="1" applyBorder="1" applyAlignment="1"/>
    <xf numFmtId="0" fontId="13" fillId="0" borderId="37" xfId="0" applyFont="1" applyBorder="1" applyAlignment="1"/>
    <xf numFmtId="10" fontId="8" fillId="0" borderId="0" xfId="13" applyNumberFormat="1" applyFont="1" applyFill="1" applyBorder="1"/>
    <xf numFmtId="10" fontId="13" fillId="0" borderId="0" xfId="13" applyNumberFormat="1" applyFont="1" applyAlignment="1"/>
    <xf numFmtId="0" fontId="0" fillId="0" borderId="16" xfId="0" applyBorder="1" applyAlignment="1">
      <alignment horizontal="center"/>
    </xf>
    <xf numFmtId="0" fontId="74" fillId="10" borderId="40" xfId="0" applyFont="1" applyFill="1" applyBorder="1" applyAlignment="1">
      <alignment horizontal="center"/>
    </xf>
    <xf numFmtId="0" fontId="74" fillId="10" borderId="41" xfId="0" applyFont="1" applyFill="1" applyBorder="1" applyAlignment="1"/>
    <xf numFmtId="0" fontId="74" fillId="10" borderId="42" xfId="0" applyFont="1" applyFill="1" applyBorder="1" applyAlignment="1">
      <alignment horizontal="center"/>
    </xf>
    <xf numFmtId="10" fontId="73" fillId="0" borderId="0" xfId="13" applyNumberFormat="1" applyFont="1" applyAlignment="1"/>
    <xf numFmtId="0" fontId="22" fillId="2" borderId="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vertical="center" wrapText="1"/>
    </xf>
    <xf numFmtId="1" fontId="24" fillId="0" borderId="2" xfId="0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right" vertical="center"/>
    </xf>
    <xf numFmtId="2" fontId="25" fillId="0" borderId="2" xfId="0" applyNumberFormat="1" applyFont="1" applyFill="1" applyBorder="1" applyAlignment="1">
      <alignment horizontal="right" vertical="center"/>
    </xf>
    <xf numFmtId="1" fontId="25" fillId="0" borderId="2" xfId="0" applyNumberFormat="1" applyFont="1" applyFill="1" applyBorder="1" applyAlignment="1">
      <alignment horizontal="right" vertical="center"/>
    </xf>
    <xf numFmtId="2" fontId="23" fillId="0" borderId="6" xfId="0" applyNumberFormat="1" applyFont="1" applyFill="1" applyBorder="1" applyAlignment="1">
      <alignment vertical="center"/>
    </xf>
    <xf numFmtId="2" fontId="23" fillId="0" borderId="38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 wrapText="1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vertical="center"/>
    </xf>
    <xf numFmtId="2" fontId="23" fillId="0" borderId="39" xfId="0" applyNumberFormat="1" applyFont="1" applyFill="1" applyBorder="1" applyAlignment="1">
      <alignment vertical="center"/>
    </xf>
    <xf numFmtId="2" fontId="26" fillId="0" borderId="3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 wrapText="1"/>
    </xf>
    <xf numFmtId="2" fontId="23" fillId="0" borderId="13" xfId="0" applyNumberFormat="1" applyFont="1" applyFill="1" applyBorder="1" applyAlignment="1">
      <alignment vertical="center"/>
    </xf>
    <xf numFmtId="1" fontId="27" fillId="0" borderId="2" xfId="0" applyNumberFormat="1" applyFont="1" applyFill="1" applyBorder="1" applyAlignment="1">
      <alignment vertical="center"/>
    </xf>
    <xf numFmtId="2" fontId="23" fillId="0" borderId="2" xfId="0" applyNumberFormat="1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vertical="center"/>
    </xf>
    <xf numFmtId="2" fontId="0" fillId="0" borderId="2" xfId="0" applyNumberFormat="1" applyFill="1" applyBorder="1" applyAlignment="1">
      <alignment vertical="center"/>
    </xf>
    <xf numFmtId="1" fontId="23" fillId="0" borderId="13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vertical="center" wrapText="1"/>
    </xf>
    <xf numFmtId="2" fontId="23" fillId="0" borderId="2" xfId="0" applyNumberFormat="1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 wrapText="1"/>
    </xf>
    <xf numFmtId="1" fontId="28" fillId="0" borderId="17" xfId="0" applyNumberFormat="1" applyFont="1" applyFill="1" applyBorder="1" applyAlignment="1">
      <alignment horizontal="right" vertical="center"/>
    </xf>
    <xf numFmtId="1" fontId="28" fillId="0" borderId="19" xfId="0" applyNumberFormat="1" applyFont="1" applyFill="1" applyBorder="1" applyAlignment="1">
      <alignment horizontal="right" vertical="center"/>
    </xf>
    <xf numFmtId="1" fontId="28" fillId="0" borderId="16" xfId="0" applyNumberFormat="1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right" vertical="center"/>
    </xf>
    <xf numFmtId="1" fontId="8" fillId="0" borderId="17" xfId="0" applyNumberFormat="1" applyFont="1" applyBorder="1" applyAlignment="1"/>
    <xf numFmtId="1" fontId="8" fillId="0" borderId="19" xfId="0" applyNumberFormat="1" applyFont="1" applyBorder="1" applyAlignment="1"/>
    <xf numFmtId="1" fontId="8" fillId="0" borderId="16" xfId="0" applyNumberFormat="1" applyFont="1" applyBorder="1" applyAlignment="1"/>
    <xf numFmtId="1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29" fillId="0" borderId="0" xfId="0" applyFont="1" applyAlignment="1">
      <alignment horizontal="right"/>
    </xf>
    <xf numFmtId="1" fontId="31" fillId="0" borderId="0" xfId="0" applyNumberFormat="1" applyFont="1" applyAlignment="1">
      <alignment horizontal="center"/>
    </xf>
    <xf numFmtId="0" fontId="2" fillId="0" borderId="0" xfId="0" applyFont="1"/>
    <xf numFmtId="1" fontId="33" fillId="0" borderId="46" xfId="0" applyNumberFormat="1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1" fontId="33" fillId="0" borderId="47" xfId="0" applyNumberFormat="1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0" fillId="0" borderId="49" xfId="0" applyFont="1" applyBorder="1"/>
    <xf numFmtId="0" fontId="33" fillId="0" borderId="49" xfId="0" applyFont="1" applyBorder="1" applyAlignment="1">
      <alignment horizontal="center" vertical="top"/>
    </xf>
    <xf numFmtId="0" fontId="33" fillId="0" borderId="49" xfId="0" applyFont="1" applyBorder="1" applyAlignment="1">
      <alignment horizontal="center"/>
    </xf>
    <xf numFmtId="0" fontId="33" fillId="0" borderId="41" xfId="0" applyFont="1" applyBorder="1" applyAlignment="1">
      <alignment horizontal="center" vertical="top"/>
    </xf>
    <xf numFmtId="0" fontId="33" fillId="0" borderId="50" xfId="0" applyFont="1" applyBorder="1" applyAlignment="1">
      <alignment horizontal="center" vertical="top"/>
    </xf>
    <xf numFmtId="0" fontId="35" fillId="0" borderId="48" xfId="0" applyFont="1" applyBorder="1" applyAlignment="1">
      <alignment horizontal="right"/>
    </xf>
    <xf numFmtId="0" fontId="35" fillId="0" borderId="49" xfId="0" applyFont="1" applyBorder="1"/>
    <xf numFmtId="168" fontId="24" fillId="0" borderId="49" xfId="2" applyNumberFormat="1" applyFont="1" applyFill="1" applyBorder="1" applyAlignment="1" applyProtection="1">
      <alignment horizontal="right"/>
    </xf>
    <xf numFmtId="0" fontId="24" fillId="0" borderId="3" xfId="0" applyFont="1" applyFill="1" applyBorder="1"/>
    <xf numFmtId="0" fontId="24" fillId="0" borderId="3" xfId="0" applyFont="1" applyBorder="1" applyAlignment="1">
      <alignment horizontal="right"/>
    </xf>
    <xf numFmtId="168" fontId="24" fillId="0" borderId="3" xfId="2" applyNumberFormat="1" applyFont="1" applyBorder="1" applyAlignment="1" applyProtection="1">
      <alignment horizontal="right"/>
    </xf>
    <xf numFmtId="0" fontId="24" fillId="0" borderId="3" xfId="0" applyFont="1" applyBorder="1"/>
    <xf numFmtId="0" fontId="24" fillId="0" borderId="20" xfId="0" applyFont="1" applyBorder="1"/>
    <xf numFmtId="0" fontId="24" fillId="0" borderId="49" xfId="0" applyFont="1" applyBorder="1"/>
    <xf numFmtId="0" fontId="24" fillId="0" borderId="18" xfId="0" applyFont="1" applyFill="1" applyBorder="1"/>
    <xf numFmtId="0" fontId="35" fillId="0" borderId="13" xfId="0" applyFont="1" applyBorder="1" applyAlignment="1">
      <alignment horizontal="right"/>
    </xf>
    <xf numFmtId="0" fontId="35" fillId="0" borderId="2" xfId="0" applyFont="1" applyBorder="1"/>
    <xf numFmtId="168" fontId="24" fillId="0" borderId="2" xfId="2" applyNumberFormat="1" applyFont="1" applyFill="1" applyBorder="1" applyAlignment="1" applyProtection="1">
      <alignment horizontal="right"/>
    </xf>
    <xf numFmtId="0" fontId="24" fillId="0" borderId="2" xfId="0" applyFont="1" applyFill="1" applyBorder="1"/>
    <xf numFmtId="0" fontId="24" fillId="0" borderId="2" xfId="0" applyFont="1" applyBorder="1" applyAlignment="1">
      <alignment horizontal="right"/>
    </xf>
    <xf numFmtId="168" fontId="24" fillId="0" borderId="2" xfId="2" applyNumberFormat="1" applyFont="1" applyBorder="1" applyAlignment="1" applyProtection="1">
      <alignment horizontal="right"/>
    </xf>
    <xf numFmtId="0" fontId="24" fillId="0" borderId="2" xfId="0" applyFont="1" applyBorder="1"/>
    <xf numFmtId="0" fontId="24" fillId="0" borderId="6" xfId="0" applyFont="1" applyFill="1" applyBorder="1"/>
    <xf numFmtId="0" fontId="35" fillId="0" borderId="38" xfId="0" applyFont="1" applyFill="1" applyBorder="1" applyAlignment="1">
      <alignment horizontal="right"/>
    </xf>
    <xf numFmtId="0" fontId="36" fillId="0" borderId="20" xfId="0" applyFont="1" applyBorder="1"/>
    <xf numFmtId="168" fontId="24" fillId="0" borderId="17" xfId="2" applyNumberFormat="1" applyFont="1" applyFill="1" applyBorder="1" applyAlignment="1" applyProtection="1">
      <alignment horizontal="right"/>
    </xf>
    <xf numFmtId="0" fontId="24" fillId="0" borderId="17" xfId="0" applyFont="1" applyFill="1" applyBorder="1"/>
    <xf numFmtId="0" fontId="24" fillId="0" borderId="17" xfId="0" applyFont="1" applyFill="1" applyBorder="1" applyAlignment="1">
      <alignment horizontal="right"/>
    </xf>
    <xf numFmtId="168" fontId="24" fillId="0" borderId="17" xfId="2" applyNumberFormat="1" applyFont="1" applyBorder="1" applyAlignment="1" applyProtection="1">
      <alignment horizontal="right"/>
    </xf>
    <xf numFmtId="0" fontId="24" fillId="0" borderId="17" xfId="0" applyFont="1" applyBorder="1"/>
    <xf numFmtId="0" fontId="24" fillId="0" borderId="19" xfId="0" applyFont="1" applyFill="1" applyBorder="1"/>
    <xf numFmtId="0" fontId="35" fillId="0" borderId="13" xfId="0" applyFont="1" applyBorder="1" applyAlignment="1">
      <alignment horizontal="center"/>
    </xf>
    <xf numFmtId="168" fontId="35" fillId="0" borderId="20" xfId="2" applyNumberFormat="1" applyFont="1" applyFill="1" applyBorder="1" applyAlignment="1" applyProtection="1">
      <alignment horizontal="right"/>
    </xf>
    <xf numFmtId="0" fontId="35" fillId="0" borderId="20" xfId="0" applyFont="1" applyFill="1" applyBorder="1"/>
    <xf numFmtId="0" fontId="35" fillId="0" borderId="20" xfId="0" applyFont="1" applyBorder="1"/>
    <xf numFmtId="0" fontId="35" fillId="0" borderId="51" xfId="0" applyFont="1" applyBorder="1"/>
    <xf numFmtId="0" fontId="35" fillId="0" borderId="39" xfId="0" applyFont="1" applyFill="1" applyBorder="1"/>
    <xf numFmtId="0" fontId="36" fillId="0" borderId="2" xfId="0" applyFont="1" applyBorder="1"/>
    <xf numFmtId="0" fontId="24" fillId="0" borderId="2" xfId="0" applyFont="1" applyBorder="1" applyAlignment="1">
      <alignment horizontal="center"/>
    </xf>
    <xf numFmtId="0" fontId="24" fillId="0" borderId="0" xfId="0" applyFont="1"/>
    <xf numFmtId="0" fontId="24" fillId="0" borderId="13" xfId="0" applyFont="1" applyBorder="1"/>
    <xf numFmtId="168" fontId="37" fillId="0" borderId="17" xfId="2" applyNumberFormat="1" applyFont="1" applyBorder="1" applyAlignment="1" applyProtection="1">
      <alignment horizontal="right"/>
    </xf>
    <xf numFmtId="0" fontId="24" fillId="0" borderId="52" xfId="0" applyFont="1" applyBorder="1"/>
    <xf numFmtId="0" fontId="24" fillId="0" borderId="16" xfId="0" applyFont="1" applyBorder="1"/>
    <xf numFmtId="0" fontId="36" fillId="0" borderId="17" xfId="0" applyFont="1" applyBorder="1" applyAlignment="1">
      <alignment horizontal="center"/>
    </xf>
    <xf numFmtId="168" fontId="35" fillId="8" borderId="52" xfId="0" applyNumberFormat="1" applyFont="1" applyFill="1" applyBorder="1"/>
    <xf numFmtId="168" fontId="35" fillId="0" borderId="52" xfId="0" applyNumberFormat="1" applyFont="1" applyBorder="1"/>
    <xf numFmtId="168" fontId="35" fillId="8" borderId="17" xfId="0" applyNumberFormat="1" applyFont="1" applyFill="1" applyBorder="1"/>
    <xf numFmtId="168" fontId="35" fillId="8" borderId="19" xfId="0" applyNumberFormat="1" applyFont="1" applyFill="1" applyBorder="1"/>
    <xf numFmtId="0" fontId="24" fillId="0" borderId="53" xfId="0" applyFont="1" applyBorder="1"/>
    <xf numFmtId="0" fontId="24" fillId="0" borderId="0" xfId="0" applyFont="1" applyBorder="1"/>
    <xf numFmtId="0" fontId="24" fillId="0" borderId="54" xfId="0" applyFont="1" applyFill="1" applyBorder="1"/>
    <xf numFmtId="0" fontId="24" fillId="0" borderId="0" xfId="0" applyFont="1" applyFill="1" applyBorder="1"/>
    <xf numFmtId="0" fontId="24" fillId="0" borderId="55" xfId="0" applyFont="1" applyFill="1" applyBorder="1"/>
    <xf numFmtId="0" fontId="24" fillId="0" borderId="40" xfId="0" applyFont="1" applyBorder="1"/>
    <xf numFmtId="0" fontId="35" fillId="0" borderId="41" xfId="0" applyFont="1" applyBorder="1" applyAlignment="1">
      <alignment horizontal="center"/>
    </xf>
    <xf numFmtId="168" fontId="35" fillId="0" borderId="41" xfId="2" applyNumberFormat="1" applyFont="1" applyFill="1" applyBorder="1" applyAlignment="1" applyProtection="1">
      <alignment horizontal="right"/>
    </xf>
    <xf numFmtId="1" fontId="35" fillId="0" borderId="41" xfId="0" applyNumberFormat="1" applyFont="1" applyFill="1" applyBorder="1"/>
    <xf numFmtId="0" fontId="35" fillId="0" borderId="41" xfId="0" applyFont="1" applyBorder="1"/>
    <xf numFmtId="0" fontId="35" fillId="0" borderId="42" xfId="0" applyFont="1" applyFill="1" applyBorder="1"/>
    <xf numFmtId="0" fontId="35" fillId="0" borderId="0" xfId="0" applyFont="1" applyBorder="1" applyAlignment="1">
      <alignment horizontal="center"/>
    </xf>
    <xf numFmtId="168" fontId="35" fillId="0" borderId="0" xfId="2" applyNumberFormat="1" applyFont="1" applyFill="1" applyBorder="1" applyAlignment="1" applyProtection="1">
      <alignment horizontal="right"/>
    </xf>
    <xf numFmtId="1" fontId="35" fillId="0" borderId="0" xfId="0" applyNumberFormat="1" applyFont="1" applyFill="1" applyBorder="1"/>
    <xf numFmtId="0" fontId="35" fillId="0" borderId="0" xfId="0" applyFont="1" applyBorder="1"/>
    <xf numFmtId="0" fontId="35" fillId="0" borderId="0" xfId="0" applyFont="1" applyFill="1" applyBorder="1"/>
    <xf numFmtId="2" fontId="8" fillId="0" borderId="17" xfId="0" applyNumberFormat="1" applyFont="1" applyFill="1" applyBorder="1" applyAlignment="1"/>
    <xf numFmtId="0" fontId="7" fillId="10" borderId="13" xfId="0" applyFont="1" applyFill="1" applyBorder="1" applyAlignment="1"/>
    <xf numFmtId="0" fontId="7" fillId="10" borderId="2" xfId="0" applyFont="1" applyFill="1" applyBorder="1" applyAlignment="1"/>
    <xf numFmtId="0" fontId="7" fillId="10" borderId="2" xfId="0" applyFont="1" applyFill="1" applyBorder="1" applyAlignment="1">
      <alignment wrapText="1"/>
    </xf>
    <xf numFmtId="0" fontId="7" fillId="10" borderId="6" xfId="0" applyFont="1" applyFill="1" applyBorder="1" applyAlignment="1"/>
    <xf numFmtId="0" fontId="7" fillId="10" borderId="24" xfId="0" applyFont="1" applyFill="1" applyBorder="1" applyAlignment="1"/>
    <xf numFmtId="0" fontId="8" fillId="0" borderId="13" xfId="0" applyFont="1" applyFill="1" applyBorder="1" applyAlignment="1"/>
    <xf numFmtId="0" fontId="8" fillId="0" borderId="2" xfId="0" applyFont="1" applyFill="1" applyBorder="1" applyAlignment="1"/>
    <xf numFmtId="0" fontId="8" fillId="0" borderId="6" xfId="0" applyFont="1" applyFill="1" applyBorder="1" applyAlignment="1"/>
    <xf numFmtId="0" fontId="8" fillId="0" borderId="24" xfId="0" applyFont="1" applyBorder="1" applyAlignment="1"/>
    <xf numFmtId="0" fontId="8" fillId="0" borderId="6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/>
    <xf numFmtId="0" fontId="8" fillId="0" borderId="17" xfId="0" applyFont="1" applyFill="1" applyBorder="1" applyAlignment="1"/>
    <xf numFmtId="0" fontId="8" fillId="0" borderId="17" xfId="0" applyFont="1" applyBorder="1" applyAlignment="1"/>
    <xf numFmtId="0" fontId="8" fillId="0" borderId="43" xfId="0" applyFont="1" applyBorder="1" applyAlignment="1"/>
    <xf numFmtId="0" fontId="74" fillId="10" borderId="2" xfId="0" applyFont="1" applyFill="1" applyBorder="1" applyAlignment="1">
      <alignment horizontal="center" vertical="center"/>
    </xf>
    <xf numFmtId="0" fontId="74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 wrapText="1"/>
    </xf>
    <xf numFmtId="0" fontId="7" fillId="10" borderId="56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7" fillId="10" borderId="57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7" fillId="10" borderId="58" xfId="0" applyFont="1" applyFill="1" applyBorder="1" applyAlignment="1">
      <alignment horizontal="center" vertical="center"/>
    </xf>
    <xf numFmtId="0" fontId="7" fillId="10" borderId="59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0" borderId="49" xfId="0" applyFont="1" applyFill="1" applyBorder="1" applyAlignment="1">
      <alignment vertical="center"/>
    </xf>
    <xf numFmtId="0" fontId="74" fillId="10" borderId="49" xfId="0" applyFont="1" applyFill="1" applyBorder="1" applyAlignment="1">
      <alignment horizontal="center" vertical="center" wrapText="1"/>
    </xf>
    <xf numFmtId="0" fontId="74" fillId="10" borderId="50" xfId="0" applyFont="1" applyFill="1" applyBorder="1" applyAlignment="1">
      <alignment wrapText="1"/>
    </xf>
    <xf numFmtId="0" fontId="0" fillId="0" borderId="2" xfId="0" applyFill="1" applyBorder="1" applyAlignment="1"/>
    <xf numFmtId="0" fontId="0" fillId="0" borderId="17" xfId="0" applyFill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18" xfId="0" applyBorder="1" applyAlignment="1"/>
    <xf numFmtId="0" fontId="0" fillId="0" borderId="17" xfId="0" applyBorder="1" applyAlignment="1">
      <alignment wrapText="1"/>
    </xf>
    <xf numFmtId="166" fontId="0" fillId="0" borderId="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2" fontId="13" fillId="0" borderId="22" xfId="0" applyNumberFormat="1" applyFont="1" applyBorder="1" applyAlignment="1"/>
    <xf numFmtId="2" fontId="13" fillId="0" borderId="13" xfId="0" applyNumberFormat="1" applyFont="1" applyBorder="1" applyAlignment="1"/>
    <xf numFmtId="2" fontId="13" fillId="0" borderId="12" xfId="0" applyNumberFormat="1" applyFont="1" applyBorder="1" applyAlignment="1"/>
    <xf numFmtId="0" fontId="13" fillId="0" borderId="3" xfId="0" applyFont="1" applyBorder="1" applyAlignment="1"/>
    <xf numFmtId="0" fontId="13" fillId="0" borderId="18" xfId="0" applyFont="1" applyBorder="1" applyAlignment="1"/>
    <xf numFmtId="0" fontId="13" fillId="0" borderId="33" xfId="0" applyFont="1" applyBorder="1" applyAlignment="1"/>
    <xf numFmtId="0" fontId="13" fillId="0" borderId="34" xfId="0" applyFont="1" applyBorder="1" applyAlignment="1"/>
    <xf numFmtId="2" fontId="6" fillId="0" borderId="2" xfId="0" applyNumberFormat="1" applyFont="1" applyBorder="1" applyAlignment="1"/>
    <xf numFmtId="2" fontId="6" fillId="0" borderId="13" xfId="0" applyNumberFormat="1" applyFont="1" applyBorder="1" applyAlignment="1"/>
    <xf numFmtId="2" fontId="6" fillId="0" borderId="22" xfId="0" applyNumberFormat="1" applyFont="1" applyBorder="1" applyAlignment="1"/>
    <xf numFmtId="2" fontId="6" fillId="0" borderId="6" xfId="0" applyNumberFormat="1" applyFont="1" applyBorder="1" applyAlignment="1"/>
    <xf numFmtId="0" fontId="6" fillId="0" borderId="6" xfId="0" applyFont="1" applyBorder="1" applyAlignment="1"/>
    <xf numFmtId="2" fontId="13" fillId="0" borderId="17" xfId="0" applyNumberFormat="1" applyFont="1" applyBorder="1" applyAlignment="1"/>
    <xf numFmtId="0" fontId="74" fillId="10" borderId="41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74" fillId="10" borderId="2" xfId="0" applyFont="1" applyFill="1" applyBorder="1" applyAlignment="1"/>
    <xf numFmtId="0" fontId="7" fillId="10" borderId="62" xfId="0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/>
    <xf numFmtId="0" fontId="74" fillId="10" borderId="48" xfId="0" applyFont="1" applyFill="1" applyBorder="1" applyAlignment="1"/>
    <xf numFmtId="0" fontId="74" fillId="10" borderId="49" xfId="0" applyFont="1" applyFill="1" applyBorder="1" applyAlignment="1"/>
    <xf numFmtId="0" fontId="74" fillId="10" borderId="12" xfId="0" applyFont="1" applyFill="1" applyBorder="1" applyAlignment="1"/>
    <xf numFmtId="0" fontId="74" fillId="10" borderId="3" xfId="0" applyFont="1" applyFill="1" applyBorder="1" applyAlignment="1"/>
    <xf numFmtId="0" fontId="74" fillId="10" borderId="18" xfId="0" applyFont="1" applyFill="1" applyBorder="1" applyAlignment="1"/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74" fillId="10" borderId="66" xfId="0" applyFont="1" applyFill="1" applyBorder="1" applyAlignment="1"/>
    <xf numFmtId="0" fontId="0" fillId="0" borderId="22" xfId="0" applyBorder="1" applyAlignment="1"/>
    <xf numFmtId="0" fontId="0" fillId="0" borderId="27" xfId="0" applyBorder="1" applyAlignment="1"/>
    <xf numFmtId="0" fontId="74" fillId="0" borderId="0" xfId="0" applyFont="1" applyFill="1" applyBorder="1" applyAlignment="1"/>
    <xf numFmtId="0" fontId="0" fillId="0" borderId="0" xfId="0" applyFill="1" applyBorder="1" applyAlignment="1"/>
    <xf numFmtId="0" fontId="6" fillId="11" borderId="2" xfId="0" applyFont="1" applyFill="1" applyBorder="1" applyAlignment="1">
      <alignment horizontal="center" vertical="top" wrapText="1"/>
    </xf>
    <xf numFmtId="0" fontId="6" fillId="11" borderId="6" xfId="0" applyFont="1" applyFill="1" applyBorder="1" applyAlignment="1">
      <alignment horizontal="center" vertical="top" wrapText="1"/>
    </xf>
    <xf numFmtId="0" fontId="6" fillId="11" borderId="24" xfId="0" applyFont="1" applyFill="1" applyBorder="1" applyAlignment="1">
      <alignment horizontal="center" vertical="top" wrapText="1"/>
    </xf>
    <xf numFmtId="0" fontId="6" fillId="11" borderId="13" xfId="0" applyFont="1" applyFill="1" applyBorder="1" applyAlignment="1">
      <alignment horizontal="center" vertical="top" wrapText="1"/>
    </xf>
    <xf numFmtId="0" fontId="7" fillId="10" borderId="4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7" fillId="11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0" fontId="74" fillId="11" borderId="2" xfId="0" applyFont="1" applyFill="1" applyBorder="1" applyAlignment="1">
      <alignment horizontal="center" vertical="center"/>
    </xf>
    <xf numFmtId="0" fontId="74" fillId="0" borderId="0" xfId="0" applyFont="1" applyAlignment="1"/>
    <xf numFmtId="0" fontId="7" fillId="10" borderId="25" xfId="0" applyFont="1" applyFill="1" applyBorder="1" applyAlignment="1">
      <alignment horizontal="center" wrapText="1"/>
    </xf>
    <xf numFmtId="0" fontId="7" fillId="10" borderId="56" xfId="0" applyFont="1" applyFill="1" applyBorder="1" applyAlignment="1">
      <alignment horizontal="center" wrapText="1"/>
    </xf>
    <xf numFmtId="0" fontId="6" fillId="0" borderId="22" xfId="0" applyFont="1" applyBorder="1" applyAlignment="1"/>
    <xf numFmtId="0" fontId="7" fillId="10" borderId="35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63" xfId="0" applyFont="1" applyBorder="1" applyAlignment="1"/>
    <xf numFmtId="0" fontId="13" fillId="0" borderId="24" xfId="0" applyFont="1" applyBorder="1" applyAlignment="1"/>
    <xf numFmtId="2" fontId="13" fillId="0" borderId="43" xfId="0" applyNumberFormat="1" applyFont="1" applyBorder="1" applyAlignment="1"/>
    <xf numFmtId="1" fontId="13" fillId="0" borderId="2" xfId="0" applyNumberFormat="1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0" borderId="13" xfId="0" applyFont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/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18" xfId="0" applyFont="1" applyBorder="1" applyAlignment="1"/>
    <xf numFmtId="2" fontId="13" fillId="0" borderId="18" xfId="0" applyNumberFormat="1" applyFont="1" applyBorder="1" applyAlignment="1"/>
    <xf numFmtId="0" fontId="13" fillId="0" borderId="35" xfId="0" applyFont="1" applyBorder="1" applyAlignment="1"/>
    <xf numFmtId="0" fontId="13" fillId="0" borderId="2" xfId="0" applyFont="1" applyBorder="1" applyAlignment="1">
      <alignment horizontal="right" vertical="center"/>
    </xf>
    <xf numFmtId="0" fontId="6" fillId="0" borderId="19" xfId="0" applyFont="1" applyBorder="1" applyAlignment="1"/>
    <xf numFmtId="2" fontId="13" fillId="0" borderId="16" xfId="0" applyNumberFormat="1" applyFont="1" applyBorder="1" applyAlignment="1"/>
    <xf numFmtId="2" fontId="13" fillId="0" borderId="19" xfId="0" applyNumberFormat="1" applyFont="1" applyBorder="1" applyAlignment="1"/>
    <xf numFmtId="2" fontId="13" fillId="0" borderId="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6" xfId="0" applyFont="1" applyBorder="1" applyAlignment="1">
      <alignment horizontal="right"/>
    </xf>
    <xf numFmtId="0" fontId="13" fillId="0" borderId="36" xfId="0" applyFont="1" applyBorder="1" applyAlignment="1">
      <alignment horizontal="right" vertical="center"/>
    </xf>
    <xf numFmtId="2" fontId="13" fillId="0" borderId="6" xfId="0" applyNumberFormat="1" applyFont="1" applyBorder="1" applyAlignment="1">
      <alignment horizontal="right"/>
    </xf>
    <xf numFmtId="0" fontId="39" fillId="0" borderId="0" xfId="0" applyFont="1" applyAlignment="1">
      <alignment vertical="top" wrapText="1"/>
    </xf>
    <xf numFmtId="0" fontId="13" fillId="0" borderId="0" xfId="0" applyFont="1" applyFill="1" applyBorder="1" applyAlignment="1"/>
    <xf numFmtId="0" fontId="6" fillId="0" borderId="0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2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43" xfId="0" applyFont="1" applyBorder="1" applyAlignment="1"/>
    <xf numFmtId="0" fontId="73" fillId="0" borderId="2" xfId="5" applyFont="1" applyBorder="1"/>
    <xf numFmtId="0" fontId="73" fillId="0" borderId="0" xfId="5" applyFont="1"/>
    <xf numFmtId="0" fontId="73" fillId="0" borderId="2" xfId="5" applyFont="1" applyBorder="1" applyAlignment="1">
      <alignment vertical="top" wrapText="1"/>
    </xf>
    <xf numFmtId="0" fontId="2" fillId="0" borderId="2" xfId="5" applyFont="1" applyBorder="1" applyAlignment="1">
      <alignment vertical="top" wrapText="1"/>
    </xf>
    <xf numFmtId="0" fontId="33" fillId="0" borderId="2" xfId="5" applyFont="1" applyBorder="1" applyAlignment="1">
      <alignment vertical="top" wrapText="1"/>
    </xf>
    <xf numFmtId="0" fontId="2" fillId="0" borderId="2" xfId="5" applyFont="1" applyFill="1" applyBorder="1" applyAlignment="1">
      <alignment vertical="top" wrapText="1"/>
    </xf>
    <xf numFmtId="0" fontId="33" fillId="0" borderId="2" xfId="5" applyFont="1" applyFill="1" applyBorder="1" applyAlignment="1">
      <alignment vertical="top" wrapText="1"/>
    </xf>
    <xf numFmtId="0" fontId="73" fillId="0" borderId="2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33" fillId="0" borderId="2" xfId="5" applyFont="1" applyBorder="1" applyAlignment="1">
      <alignment horizontal="center" vertical="center" wrapText="1"/>
    </xf>
    <xf numFmtId="166" fontId="73" fillId="0" borderId="2" xfId="5" applyNumberFormat="1" applyFont="1" applyBorder="1" applyAlignment="1">
      <alignment horizontal="center" vertical="center"/>
    </xf>
    <xf numFmtId="0" fontId="33" fillId="0" borderId="2" xfId="5" applyFont="1" applyBorder="1" applyAlignment="1">
      <alignment horizontal="center" vertical="center"/>
    </xf>
    <xf numFmtId="0" fontId="73" fillId="0" borderId="2" xfId="5" applyFont="1" applyBorder="1" applyAlignment="1">
      <alignment horizontal="center" vertical="center"/>
    </xf>
    <xf numFmtId="166" fontId="33" fillId="0" borderId="2" xfId="5" applyNumberFormat="1" applyFont="1" applyFill="1" applyBorder="1" applyAlignment="1">
      <alignment horizontal="center" vertical="center" wrapText="1"/>
    </xf>
    <xf numFmtId="0" fontId="33" fillId="0" borderId="2" xfId="5" applyFont="1" applyFill="1" applyBorder="1" applyAlignment="1">
      <alignment horizontal="center" vertical="center" wrapText="1"/>
    </xf>
    <xf numFmtId="9" fontId="7" fillId="0" borderId="0" xfId="0" applyNumberFormat="1" applyFont="1" applyAlignment="1"/>
    <xf numFmtId="0" fontId="73" fillId="0" borderId="0" xfId="6" applyFont="1"/>
    <xf numFmtId="0" fontId="38" fillId="0" borderId="2" xfId="6" applyFont="1" applyBorder="1" applyAlignment="1">
      <alignment horizontal="center" vertical="top" wrapText="1"/>
    </xf>
    <xf numFmtId="0" fontId="42" fillId="0" borderId="2" xfId="6" applyFont="1" applyBorder="1" applyAlignment="1">
      <alignment horizontal="center" vertical="top" wrapText="1"/>
    </xf>
    <xf numFmtId="0" fontId="38" fillId="0" borderId="2" xfId="6" applyFont="1" applyBorder="1" applyAlignment="1">
      <alignment vertical="top" wrapText="1"/>
    </xf>
    <xf numFmtId="0" fontId="73" fillId="0" borderId="2" xfId="6" applyFont="1" applyBorder="1" applyAlignment="1">
      <alignment horizontal="center" vertical="top" wrapText="1"/>
    </xf>
    <xf numFmtId="0" fontId="41" fillId="0" borderId="2" xfId="6" applyFont="1" applyBorder="1" applyAlignment="1">
      <alignment vertical="top" wrapText="1"/>
    </xf>
    <xf numFmtId="0" fontId="41" fillId="0" borderId="2" xfId="6" applyFont="1" applyBorder="1" applyAlignment="1">
      <alignment horizontal="center" vertical="top" wrapText="1"/>
    </xf>
    <xf numFmtId="0" fontId="41" fillId="0" borderId="2" xfId="6" applyFont="1" applyBorder="1"/>
    <xf numFmtId="0" fontId="44" fillId="0" borderId="2" xfId="6" applyFont="1" applyBorder="1" applyAlignment="1">
      <alignment vertical="top" wrapText="1"/>
    </xf>
    <xf numFmtId="0" fontId="44" fillId="0" borderId="2" xfId="6" applyFont="1" applyBorder="1" applyAlignment="1">
      <alignment horizontal="center" vertical="top" wrapText="1"/>
    </xf>
    <xf numFmtId="0" fontId="45" fillId="0" borderId="2" xfId="6" applyFont="1" applyBorder="1" applyAlignment="1">
      <alignment horizontal="center" vertical="top" wrapText="1"/>
    </xf>
    <xf numFmtId="0" fontId="41" fillId="0" borderId="2" xfId="6" applyFont="1" applyBorder="1" applyAlignment="1">
      <alignment horizontal="center" vertical="center" wrapText="1"/>
    </xf>
    <xf numFmtId="0" fontId="43" fillId="0" borderId="2" xfId="6" applyFont="1" applyBorder="1" applyAlignment="1"/>
    <xf numFmtId="0" fontId="38" fillId="0" borderId="2" xfId="6" applyFont="1" applyBorder="1" applyAlignment="1">
      <alignment horizontal="left" vertical="top" wrapText="1"/>
    </xf>
    <xf numFmtId="0" fontId="42" fillId="0" borderId="2" xfId="6" applyFont="1" applyBorder="1" applyAlignment="1">
      <alignment horizontal="center" vertical="center" wrapText="1"/>
    </xf>
    <xf numFmtId="0" fontId="38" fillId="0" borderId="2" xfId="6" applyFont="1" applyBorder="1" applyAlignment="1">
      <alignment vertical="center" wrapText="1"/>
    </xf>
    <xf numFmtId="0" fontId="38" fillId="0" borderId="2" xfId="6" applyFont="1" applyBorder="1" applyAlignment="1">
      <alignment horizontal="center" vertical="center" wrapText="1"/>
    </xf>
    <xf numFmtId="0" fontId="43" fillId="0" borderId="2" xfId="6" applyFont="1" applyBorder="1" applyAlignment="1">
      <alignment horizontal="left" vertical="top"/>
    </xf>
    <xf numFmtId="0" fontId="43" fillId="0" borderId="2" xfId="6" applyFont="1" applyBorder="1" applyAlignment="1">
      <alignment horizontal="left" vertical="top" wrapText="1"/>
    </xf>
    <xf numFmtId="0" fontId="46" fillId="0" borderId="2" xfId="6" applyFont="1" applyBorder="1" applyAlignment="1">
      <alignment horizontal="left" vertical="top" wrapText="1"/>
    </xf>
    <xf numFmtId="166" fontId="1" fillId="0" borderId="2" xfId="6" applyNumberFormat="1" applyFont="1" applyBorder="1" applyAlignment="1">
      <alignment horizontal="center" vertical="top" wrapText="1"/>
    </xf>
    <xf numFmtId="0" fontId="1" fillId="0" borderId="2" xfId="6" applyFont="1" applyBorder="1" applyAlignment="1">
      <alignment horizontal="left" vertical="top" wrapText="1"/>
    </xf>
    <xf numFmtId="0" fontId="1" fillId="0" borderId="2" xfId="6" applyFont="1" applyBorder="1" applyAlignment="1">
      <alignment horizontal="center" vertical="top" wrapText="1"/>
    </xf>
    <xf numFmtId="0" fontId="73" fillId="0" borderId="2" xfId="6" applyFont="1" applyBorder="1"/>
    <xf numFmtId="166" fontId="41" fillId="0" borderId="2" xfId="6" applyNumberFormat="1" applyFont="1" applyBorder="1" applyAlignment="1">
      <alignment horizontal="center" vertical="top" wrapText="1"/>
    </xf>
    <xf numFmtId="0" fontId="73" fillId="0" borderId="2" xfId="6" applyFont="1" applyBorder="1" applyAlignment="1">
      <alignment horizontal="center"/>
    </xf>
    <xf numFmtId="0" fontId="73" fillId="0" borderId="2" xfId="6" applyFont="1" applyBorder="1" applyAlignment="1">
      <alignment horizontal="center" vertical="center"/>
    </xf>
    <xf numFmtId="166" fontId="41" fillId="0" borderId="2" xfId="6" applyNumberFormat="1" applyFont="1" applyBorder="1" applyAlignment="1">
      <alignment horizontal="center" vertical="center" wrapText="1"/>
    </xf>
    <xf numFmtId="2" fontId="41" fillId="0" borderId="2" xfId="6" applyNumberFormat="1" applyFont="1" applyBorder="1" applyAlignment="1">
      <alignment horizontal="center" vertical="center" wrapText="1"/>
    </xf>
    <xf numFmtId="0" fontId="73" fillId="0" borderId="2" xfId="6" applyFont="1" applyBorder="1" applyAlignment="1">
      <alignment vertical="top" wrapText="1"/>
    </xf>
    <xf numFmtId="0" fontId="41" fillId="0" borderId="2" xfId="6" applyFont="1" applyFill="1" applyBorder="1" applyAlignment="1">
      <alignment vertical="top" wrapText="1"/>
    </xf>
    <xf numFmtId="0" fontId="41" fillId="0" borderId="2" xfId="6" applyFont="1" applyFill="1" applyBorder="1" applyAlignment="1">
      <alignment horizontal="left" vertical="top" wrapText="1"/>
    </xf>
    <xf numFmtId="166" fontId="73" fillId="0" borderId="2" xfId="6" applyNumberFormat="1" applyFont="1" applyBorder="1" applyAlignment="1">
      <alignment horizontal="center" vertical="top" wrapText="1"/>
    </xf>
    <xf numFmtId="2" fontId="47" fillId="0" borderId="2" xfId="6" applyNumberFormat="1" applyFont="1" applyBorder="1" applyAlignment="1">
      <alignment horizontal="center" vertical="top" wrapText="1"/>
    </xf>
    <xf numFmtId="166" fontId="41" fillId="0" borderId="2" xfId="6" applyNumberFormat="1" applyFont="1" applyBorder="1" applyAlignment="1">
      <alignment vertical="top" wrapText="1"/>
    </xf>
    <xf numFmtId="0" fontId="73" fillId="0" borderId="2" xfId="6" applyFont="1" applyBorder="1" applyAlignment="1">
      <alignment horizontal="center" vertical="center" wrapText="1"/>
    </xf>
    <xf numFmtId="0" fontId="47" fillId="0" borderId="2" xfId="6" applyFont="1" applyBorder="1" applyAlignment="1">
      <alignment horizontal="center" vertical="top" wrapText="1"/>
    </xf>
    <xf numFmtId="0" fontId="2" fillId="0" borderId="2" xfId="6" applyFont="1" applyFill="1" applyBorder="1" applyAlignment="1">
      <alignment vertical="top" wrapText="1"/>
    </xf>
    <xf numFmtId="0" fontId="47" fillId="0" borderId="2" xfId="6" applyFont="1" applyBorder="1" applyAlignment="1">
      <alignment vertical="top" wrapText="1"/>
    </xf>
    <xf numFmtId="0" fontId="48" fillId="0" borderId="2" xfId="6" applyFont="1" applyBorder="1" applyAlignment="1">
      <alignment vertical="top" wrapText="1"/>
    </xf>
    <xf numFmtId="166" fontId="73" fillId="0" borderId="2" xfId="6" applyNumberFormat="1" applyFont="1" applyBorder="1" applyAlignment="1">
      <alignment horizontal="center" vertical="center" wrapText="1"/>
    </xf>
    <xf numFmtId="0" fontId="41" fillId="0" borderId="2" xfId="6" applyFont="1" applyFill="1" applyBorder="1" applyAlignment="1">
      <alignment horizontal="center" vertical="center" wrapText="1"/>
    </xf>
    <xf numFmtId="0" fontId="41" fillId="0" borderId="2" xfId="6" applyFont="1" applyBorder="1" applyAlignment="1">
      <alignment horizontal="left" vertical="top" wrapText="1"/>
    </xf>
    <xf numFmtId="166" fontId="47" fillId="0" borderId="2" xfId="6" applyNumberFormat="1" applyFont="1" applyBorder="1" applyAlignment="1">
      <alignment horizontal="center" vertical="center" wrapText="1"/>
    </xf>
    <xf numFmtId="0" fontId="47" fillId="0" borderId="2" xfId="6" applyFont="1" applyBorder="1" applyAlignment="1">
      <alignment horizontal="center" vertical="center" wrapText="1"/>
    </xf>
    <xf numFmtId="0" fontId="74" fillId="0" borderId="2" xfId="6" applyFont="1" applyBorder="1"/>
    <xf numFmtId="166" fontId="1" fillId="0" borderId="2" xfId="6" applyNumberFormat="1" applyFont="1" applyBorder="1" applyAlignment="1">
      <alignment horizontal="center" vertical="center" wrapText="1"/>
    </xf>
    <xf numFmtId="0" fontId="1" fillId="0" borderId="2" xfId="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5" fontId="0" fillId="0" borderId="0" xfId="0" applyNumberFormat="1"/>
    <xf numFmtId="0" fontId="0" fillId="0" borderId="0" xfId="0" applyAlignment="1">
      <alignment horizontal="center" vertical="center"/>
    </xf>
    <xf numFmtId="17" fontId="0" fillId="0" borderId="0" xfId="0" applyNumberFormat="1"/>
    <xf numFmtId="2" fontId="0" fillId="0" borderId="0" xfId="0" applyNumberFormat="1"/>
    <xf numFmtId="2" fontId="0" fillId="12" borderId="0" xfId="0" applyNumberFormat="1" applyFill="1"/>
    <xf numFmtId="0" fontId="0" fillId="12" borderId="0" xfId="0" applyFill="1"/>
    <xf numFmtId="2" fontId="73" fillId="0" borderId="0" xfId="6" applyNumberFormat="1" applyFont="1"/>
    <xf numFmtId="0" fontId="75" fillId="0" borderId="0" xfId="0" applyFont="1" applyAlignment="1">
      <alignment horizontal="center"/>
    </xf>
    <xf numFmtId="0" fontId="75" fillId="0" borderId="0" xfId="0" applyFont="1"/>
    <xf numFmtId="0" fontId="75" fillId="0" borderId="0" xfId="0" applyFont="1" applyAlignment="1">
      <alignment horizontal="right"/>
    </xf>
    <xf numFmtId="0" fontId="75" fillId="0" borderId="0" xfId="0" applyFont="1" applyAlignment="1">
      <alignment horizontal="center" wrapText="1"/>
    </xf>
    <xf numFmtId="0" fontId="76" fillId="0" borderId="0" xfId="0" applyFont="1"/>
    <xf numFmtId="0" fontId="75" fillId="0" borderId="0" xfId="0" applyFont="1" applyAlignment="1">
      <alignment horizontal="right" wrapText="1"/>
    </xf>
    <xf numFmtId="0" fontId="33" fillId="0" borderId="0" xfId="0" applyFont="1" applyBorder="1" applyAlignment="1">
      <alignment horizontal="right"/>
    </xf>
    <xf numFmtId="0" fontId="76" fillId="0" borderId="23" xfId="0" applyFont="1" applyBorder="1" applyAlignment="1">
      <alignment horizontal="center"/>
    </xf>
    <xf numFmtId="0" fontId="75" fillId="0" borderId="23" xfId="0" applyFont="1" applyBorder="1"/>
    <xf numFmtId="0" fontId="75" fillId="0" borderId="23" xfId="0" applyFont="1" applyBorder="1" applyAlignment="1">
      <alignment horizontal="right"/>
    </xf>
    <xf numFmtId="0" fontId="76" fillId="0" borderId="0" xfId="0" applyFont="1" applyBorder="1" applyAlignment="1">
      <alignment horizontal="center"/>
    </xf>
    <xf numFmtId="0" fontId="75" fillId="0" borderId="0" xfId="0" applyFont="1" applyBorder="1"/>
    <xf numFmtId="0" fontId="75" fillId="0" borderId="0" xfId="0" applyFont="1" applyBorder="1" applyAlignment="1">
      <alignment horizontal="right"/>
    </xf>
    <xf numFmtId="0" fontId="77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75" fillId="0" borderId="23" xfId="0" applyFont="1" applyBorder="1" applyAlignment="1">
      <alignment horizontal="center"/>
    </xf>
    <xf numFmtId="0" fontId="76" fillId="0" borderId="68" xfId="0" applyFont="1" applyBorder="1" applyAlignment="1">
      <alignment horizontal="center"/>
    </xf>
    <xf numFmtId="0" fontId="76" fillId="0" borderId="68" xfId="0" applyFont="1" applyBorder="1" applyAlignment="1">
      <alignment horizontal="right"/>
    </xf>
    <xf numFmtId="0" fontId="78" fillId="0" borderId="0" xfId="0" applyFont="1"/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2" fillId="0" borderId="45" xfId="0" applyFont="1" applyBorder="1" applyAlignment="1">
      <alignment horizontal="center"/>
    </xf>
    <xf numFmtId="0" fontId="52" fillId="0" borderId="69" xfId="0" applyFont="1" applyBorder="1" applyAlignment="1">
      <alignment horizontal="center"/>
    </xf>
    <xf numFmtId="0" fontId="52" fillId="0" borderId="69" xfId="0" applyFont="1" applyBorder="1" applyAlignment="1">
      <alignment horizontal="center" wrapText="1"/>
    </xf>
    <xf numFmtId="0" fontId="52" fillId="0" borderId="69" xfId="0" applyFont="1" applyBorder="1" applyAlignment="1">
      <alignment horizontal="right" wrapText="1"/>
    </xf>
    <xf numFmtId="0" fontId="52" fillId="0" borderId="69" xfId="0" applyFont="1" applyBorder="1" applyAlignment="1">
      <alignment wrapText="1"/>
    </xf>
    <xf numFmtId="0" fontId="78" fillId="0" borderId="69" xfId="0" applyFont="1" applyBorder="1"/>
    <xf numFmtId="0" fontId="53" fillId="0" borderId="62" xfId="0" applyFont="1" applyBorder="1" applyAlignment="1">
      <alignment horizontal="right" wrapText="1"/>
    </xf>
    <xf numFmtId="0" fontId="51" fillId="0" borderId="7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/>
    <xf numFmtId="1" fontId="51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" fontId="51" fillId="0" borderId="71" xfId="0" applyNumberFormat="1" applyFont="1" applyBorder="1" applyAlignment="1">
      <alignment horizontal="right"/>
    </xf>
    <xf numFmtId="0" fontId="51" fillId="0" borderId="71" xfId="0" applyFont="1" applyBorder="1" applyAlignment="1">
      <alignment horizontal="right"/>
    </xf>
    <xf numFmtId="0" fontId="51" fillId="0" borderId="0" xfId="0" applyFont="1" applyFill="1" applyBorder="1"/>
    <xf numFmtId="0" fontId="51" fillId="0" borderId="45" xfId="0" applyFont="1" applyBorder="1" applyAlignment="1">
      <alignment horizontal="center"/>
    </xf>
    <xf numFmtId="0" fontId="51" fillId="0" borderId="69" xfId="0" applyFont="1" applyBorder="1" applyAlignment="1">
      <alignment horizontal="center"/>
    </xf>
    <xf numFmtId="1" fontId="51" fillId="0" borderId="69" xfId="0" applyNumberFormat="1" applyFont="1" applyBorder="1" applyAlignment="1">
      <alignment horizontal="center"/>
    </xf>
    <xf numFmtId="1" fontId="51" fillId="0" borderId="62" xfId="0" applyNumberFormat="1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0" borderId="72" xfId="0" applyFont="1" applyBorder="1" applyAlignment="1">
      <alignment horizontal="center"/>
    </xf>
    <xf numFmtId="1" fontId="51" fillId="0" borderId="72" xfId="0" applyNumberFormat="1" applyFont="1" applyBorder="1" applyAlignment="1">
      <alignment horizontal="center"/>
    </xf>
    <xf numFmtId="1" fontId="51" fillId="0" borderId="61" xfId="0" applyNumberFormat="1" applyFont="1" applyBorder="1" applyAlignment="1">
      <alignment horizontal="center"/>
    </xf>
    <xf numFmtId="1" fontId="78" fillId="0" borderId="69" xfId="0" applyNumberFormat="1" applyFont="1" applyBorder="1"/>
    <xf numFmtId="0" fontId="51" fillId="0" borderId="69" xfId="0" applyFont="1" applyBorder="1"/>
    <xf numFmtId="0" fontId="51" fillId="0" borderId="62" xfId="0" applyFont="1" applyBorder="1" applyAlignment="1">
      <alignment horizontal="right"/>
    </xf>
    <xf numFmtId="1" fontId="78" fillId="0" borderId="72" xfId="0" applyNumberFormat="1" applyFont="1" applyBorder="1"/>
    <xf numFmtId="0" fontId="78" fillId="0" borderId="72" xfId="0" applyFont="1" applyBorder="1"/>
    <xf numFmtId="0" fontId="51" fillId="0" borderId="72" xfId="0" applyFont="1" applyBorder="1"/>
    <xf numFmtId="0" fontId="51" fillId="0" borderId="61" xfId="0" applyFont="1" applyBorder="1" applyAlignment="1">
      <alignment horizontal="right"/>
    </xf>
    <xf numFmtId="1" fontId="78" fillId="0" borderId="0" xfId="0" applyNumberFormat="1" applyFont="1" applyBorder="1"/>
    <xf numFmtId="0" fontId="78" fillId="0" borderId="0" xfId="0" applyFont="1" applyBorder="1"/>
    <xf numFmtId="0" fontId="51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horizontal="center"/>
    </xf>
    <xf numFmtId="0" fontId="54" fillId="0" borderId="73" xfId="0" applyFont="1" applyBorder="1" applyAlignment="1">
      <alignment horizontal="center"/>
    </xf>
    <xf numFmtId="0" fontId="55" fillId="0" borderId="54" xfId="0" applyFont="1" applyBorder="1" applyAlignment="1">
      <alignment horizontal="center"/>
    </xf>
    <xf numFmtId="1" fontId="74" fillId="0" borderId="54" xfId="0" applyNumberFormat="1" applyFont="1" applyBorder="1" applyAlignment="1">
      <alignment horizontal="center"/>
    </xf>
    <xf numFmtId="1" fontId="74" fillId="0" borderId="74" xfId="0" applyNumberFormat="1" applyFont="1" applyBorder="1" applyAlignment="1">
      <alignment horizontal="center"/>
    </xf>
    <xf numFmtId="0" fontId="80" fillId="0" borderId="0" xfId="0" applyFont="1"/>
    <xf numFmtId="0" fontId="75" fillId="0" borderId="0" xfId="0" applyFont="1" applyAlignment="1">
      <alignment horizontal="left"/>
    </xf>
    <xf numFmtId="1" fontId="75" fillId="0" borderId="0" xfId="0" applyNumberFormat="1" applyFont="1" applyAlignment="1">
      <alignment horizontal="right"/>
    </xf>
    <xf numFmtId="0" fontId="56" fillId="0" borderId="0" xfId="7"/>
    <xf numFmtId="0" fontId="81" fillId="0" borderId="0" xfId="7" applyFont="1"/>
    <xf numFmtId="0" fontId="82" fillId="0" borderId="2" xfId="7" applyFont="1" applyBorder="1" applyAlignment="1">
      <alignment horizontal="center" vertical="center" wrapText="1"/>
    </xf>
    <xf numFmtId="0" fontId="82" fillId="0" borderId="22" xfId="7" applyFont="1" applyBorder="1" applyAlignment="1">
      <alignment horizontal="center" vertical="center" wrapText="1"/>
    </xf>
    <xf numFmtId="0" fontId="74" fillId="0" borderId="12" xfId="7" applyFont="1" applyBorder="1" applyAlignment="1">
      <alignment horizontal="center" vertical="center" wrapText="1"/>
    </xf>
    <xf numFmtId="0" fontId="78" fillId="0" borderId="3" xfId="7" applyFont="1" applyBorder="1" applyAlignment="1">
      <alignment horizontal="center" vertical="center" wrapText="1"/>
    </xf>
    <xf numFmtId="0" fontId="83" fillId="0" borderId="3" xfId="7" applyFont="1" applyBorder="1" applyAlignment="1">
      <alignment horizontal="center" vertical="center" wrapText="1"/>
    </xf>
    <xf numFmtId="0" fontId="74" fillId="0" borderId="18" xfId="7" applyFont="1" applyBorder="1" applyAlignment="1">
      <alignment horizontal="center" vertical="center" wrapText="1"/>
    </xf>
    <xf numFmtId="0" fontId="78" fillId="0" borderId="24" xfId="7" applyFont="1" applyBorder="1" applyAlignment="1">
      <alignment horizontal="center" vertical="center" wrapText="1"/>
    </xf>
    <xf numFmtId="0" fontId="84" fillId="0" borderId="2" xfId="7" applyFont="1" applyBorder="1" applyAlignment="1">
      <alignment horizontal="center" vertical="center" wrapText="1"/>
    </xf>
    <xf numFmtId="0" fontId="73" fillId="0" borderId="2" xfId="7" applyFont="1" applyBorder="1" applyAlignment="1">
      <alignment horizontal="center" vertical="center" wrapText="1"/>
    </xf>
    <xf numFmtId="0" fontId="78" fillId="0" borderId="2" xfId="7" applyFont="1" applyBorder="1" applyAlignment="1">
      <alignment horizontal="center" vertical="center" wrapText="1"/>
    </xf>
    <xf numFmtId="0" fontId="83" fillId="0" borderId="2" xfId="7" applyFont="1" applyBorder="1" applyAlignment="1">
      <alignment horizontal="center" vertical="center" wrapText="1"/>
    </xf>
    <xf numFmtId="0" fontId="74" fillId="0" borderId="2" xfId="7" applyFont="1" applyBorder="1" applyAlignment="1">
      <alignment horizontal="center" vertical="center" wrapText="1"/>
    </xf>
    <xf numFmtId="0" fontId="57" fillId="0" borderId="2" xfId="7" applyFont="1" applyBorder="1" applyAlignment="1">
      <alignment horizontal="left" vertical="center" wrapText="1"/>
    </xf>
    <xf numFmtId="0" fontId="58" fillId="0" borderId="22" xfId="7" applyFont="1" applyBorder="1" applyAlignment="1">
      <alignment horizontal="center" vertical="center"/>
    </xf>
    <xf numFmtId="0" fontId="59" fillId="0" borderId="13" xfId="7" applyFont="1" applyBorder="1" applyAlignment="1">
      <alignment horizontal="center" vertical="center"/>
    </xf>
    <xf numFmtId="0" fontId="50" fillId="0" borderId="2" xfId="7" applyFont="1" applyBorder="1" applyAlignment="1">
      <alignment horizontal="center" vertical="center"/>
    </xf>
    <xf numFmtId="0" fontId="59" fillId="0" borderId="2" xfId="7" applyFont="1" applyBorder="1" applyAlignment="1">
      <alignment horizontal="center" vertical="center"/>
    </xf>
    <xf numFmtId="0" fontId="59" fillId="0" borderId="6" xfId="7" applyFont="1" applyBorder="1" applyAlignment="1">
      <alignment horizontal="center" vertical="center"/>
    </xf>
    <xf numFmtId="0" fontId="50" fillId="0" borderId="24" xfId="7" applyFont="1" applyBorder="1" applyAlignment="1">
      <alignment horizontal="center" vertical="center"/>
    </xf>
    <xf numFmtId="1" fontId="85" fillId="0" borderId="2" xfId="7" applyNumberFormat="1" applyFont="1" applyBorder="1" applyAlignment="1">
      <alignment horizontal="center" vertical="center"/>
    </xf>
    <xf numFmtId="0" fontId="50" fillId="0" borderId="22" xfId="7" applyFont="1" applyBorder="1" applyAlignment="1">
      <alignment horizontal="center" vertical="center"/>
    </xf>
    <xf numFmtId="0" fontId="56" fillId="0" borderId="2" xfId="7" applyBorder="1"/>
    <xf numFmtId="1" fontId="56" fillId="0" borderId="2" xfId="7" applyNumberFormat="1" applyBorder="1"/>
    <xf numFmtId="0" fontId="85" fillId="0" borderId="2" xfId="7" applyFont="1" applyBorder="1" applyAlignment="1">
      <alignment horizontal="center" vertical="center"/>
    </xf>
    <xf numFmtId="0" fontId="78" fillId="0" borderId="2" xfId="7" applyFont="1" applyBorder="1" applyAlignment="1">
      <alignment horizontal="center" vertical="center"/>
    </xf>
    <xf numFmtId="0" fontId="78" fillId="0" borderId="24" xfId="7" applyFont="1" applyBorder="1" applyAlignment="1">
      <alignment horizontal="center" vertical="center"/>
    </xf>
    <xf numFmtId="0" fontId="58" fillId="0" borderId="0" xfId="7" applyFont="1"/>
    <xf numFmtId="0" fontId="56" fillId="0" borderId="29" xfId="7" applyBorder="1"/>
    <xf numFmtId="0" fontId="56" fillId="0" borderId="60" xfId="7" applyBorder="1"/>
    <xf numFmtId="0" fontId="50" fillId="0" borderId="17" xfId="7" applyFont="1" applyBorder="1" applyAlignment="1">
      <alignment horizontal="center" vertical="center"/>
    </xf>
    <xf numFmtId="0" fontId="56" fillId="0" borderId="75" xfId="7" applyBorder="1"/>
    <xf numFmtId="0" fontId="85" fillId="0" borderId="51" xfId="7" applyFont="1" applyFill="1" applyBorder="1" applyAlignment="1">
      <alignment horizontal="center" vertical="center"/>
    </xf>
    <xf numFmtId="0" fontId="56" fillId="0" borderId="0" xfId="7" applyAlignment="1">
      <alignment horizontal="center" vertical="center"/>
    </xf>
    <xf numFmtId="0" fontId="50" fillId="0" borderId="0" xfId="7" applyFont="1" applyFill="1" applyBorder="1" applyAlignment="1">
      <alignment horizontal="center" vertical="center"/>
    </xf>
    <xf numFmtId="0" fontId="56" fillId="0" borderId="48" xfId="7" applyBorder="1" applyAlignment="1">
      <alignment wrapText="1"/>
    </xf>
    <xf numFmtId="0" fontId="56" fillId="0" borderId="76" xfId="7" applyBorder="1" applyAlignment="1">
      <alignment wrapText="1"/>
    </xf>
    <xf numFmtId="0" fontId="56" fillId="0" borderId="66" xfId="7" applyBorder="1" applyAlignment="1">
      <alignment wrapText="1"/>
    </xf>
    <xf numFmtId="0" fontId="58" fillId="0" borderId="77" xfId="7" applyFont="1" applyBorder="1" applyAlignment="1">
      <alignment wrapText="1"/>
    </xf>
    <xf numFmtId="0" fontId="56" fillId="0" borderId="50" xfId="7" applyBorder="1" applyAlignment="1">
      <alignment horizontal="right" wrapText="1"/>
    </xf>
    <xf numFmtId="0" fontId="56" fillId="0" borderId="0" xfId="7" applyAlignment="1">
      <alignment wrapText="1"/>
    </xf>
    <xf numFmtId="0" fontId="81" fillId="0" borderId="0" xfId="7" applyFont="1" applyAlignment="1">
      <alignment wrapText="1"/>
    </xf>
    <xf numFmtId="0" fontId="56" fillId="0" borderId="0" xfId="7" applyAlignment="1">
      <alignment horizontal="right"/>
    </xf>
    <xf numFmtId="0" fontId="56" fillId="0" borderId="78" xfId="7" applyBorder="1"/>
    <xf numFmtId="0" fontId="56" fillId="0" borderId="0" xfId="7" applyBorder="1"/>
    <xf numFmtId="1" fontId="56" fillId="0" borderId="0" xfId="7" applyNumberFormat="1" applyBorder="1"/>
    <xf numFmtId="0" fontId="56" fillId="0" borderId="70" xfId="7" applyBorder="1"/>
    <xf numFmtId="1" fontId="56" fillId="0" borderId="71" xfId="7" applyNumberFormat="1" applyBorder="1"/>
    <xf numFmtId="0" fontId="56" fillId="0" borderId="79" xfId="7" applyBorder="1"/>
    <xf numFmtId="1" fontId="56" fillId="0" borderId="0" xfId="7" applyNumberFormat="1"/>
    <xf numFmtId="1" fontId="81" fillId="0" borderId="0" xfId="7" applyNumberFormat="1" applyFont="1"/>
    <xf numFmtId="0" fontId="56" fillId="0" borderId="71" xfId="7" applyBorder="1"/>
    <xf numFmtId="0" fontId="56" fillId="0" borderId="16" xfId="7" applyBorder="1"/>
    <xf numFmtId="0" fontId="56" fillId="0" borderId="68" xfId="7" applyBorder="1"/>
    <xf numFmtId="1" fontId="56" fillId="0" borderId="68" xfId="7" applyNumberFormat="1" applyBorder="1"/>
    <xf numFmtId="0" fontId="56" fillId="0" borderId="27" xfId="7" applyBorder="1"/>
    <xf numFmtId="1" fontId="56" fillId="0" borderId="43" xfId="7" applyNumberFormat="1" applyBorder="1"/>
    <xf numFmtId="0" fontId="56" fillId="0" borderId="19" xfId="7" applyBorder="1"/>
    <xf numFmtId="0" fontId="2" fillId="0" borderId="76" xfId="7" applyFont="1" applyBorder="1" applyAlignment="1">
      <alignment wrapText="1"/>
    </xf>
    <xf numFmtId="0" fontId="2" fillId="0" borderId="66" xfId="7" applyFont="1" applyBorder="1" applyAlignment="1">
      <alignment wrapText="1"/>
    </xf>
    <xf numFmtId="1" fontId="56" fillId="0" borderId="19" xfId="7" applyNumberFormat="1" applyBorder="1"/>
    <xf numFmtId="0" fontId="58" fillId="0" borderId="79" xfId="7" applyFont="1" applyBorder="1"/>
    <xf numFmtId="0" fontId="58" fillId="0" borderId="0" xfId="7" applyFont="1" applyBorder="1"/>
    <xf numFmtId="1" fontId="58" fillId="0" borderId="0" xfId="7" applyNumberFormat="1" applyFont="1" applyBorder="1"/>
    <xf numFmtId="0" fontId="58" fillId="0" borderId="70" xfId="7" applyFont="1" applyBorder="1"/>
    <xf numFmtId="1" fontId="58" fillId="0" borderId="71" xfId="7" applyNumberFormat="1" applyFont="1" applyBorder="1"/>
    <xf numFmtId="0" fontId="86" fillId="0" borderId="0" xfId="7" applyFont="1"/>
    <xf numFmtId="0" fontId="58" fillId="0" borderId="71" xfId="7" applyFont="1" applyBorder="1"/>
    <xf numFmtId="0" fontId="87" fillId="0" borderId="0" xfId="7" applyFont="1"/>
    <xf numFmtId="0" fontId="56" fillId="0" borderId="0" xfId="7" applyAlignment="1">
      <alignment horizontal="center"/>
    </xf>
    <xf numFmtId="0" fontId="2" fillId="0" borderId="0" xfId="8"/>
    <xf numFmtId="0" fontId="2" fillId="0" borderId="0" xfId="8" applyBorder="1"/>
    <xf numFmtId="0" fontId="2" fillId="0" borderId="0" xfId="8" applyBorder="1" applyAlignment="1">
      <alignment horizontal="center"/>
    </xf>
    <xf numFmtId="0" fontId="2" fillId="0" borderId="0" xfId="8" applyAlignment="1">
      <alignment horizontal="right"/>
    </xf>
    <xf numFmtId="0" fontId="2" fillId="0" borderId="2" xfId="8" applyBorder="1"/>
    <xf numFmtId="0" fontId="2" fillId="0" borderId="2" xfId="8" applyFont="1" applyBorder="1" applyAlignment="1">
      <alignment horizontal="right"/>
    </xf>
    <xf numFmtId="0" fontId="2" fillId="0" borderId="0" xfId="8" applyFont="1" applyBorder="1"/>
    <xf numFmtId="0" fontId="2" fillId="0" borderId="0" xfId="8" applyFont="1" applyBorder="1" applyAlignment="1">
      <alignment horizontal="center"/>
    </xf>
    <xf numFmtId="0" fontId="2" fillId="0" borderId="56" xfId="8" applyFont="1" applyBorder="1" applyAlignment="1">
      <alignment horizontal="right"/>
    </xf>
    <xf numFmtId="0" fontId="2" fillId="0" borderId="71" xfId="8" applyFill="1" applyBorder="1"/>
    <xf numFmtId="0" fontId="81" fillId="0" borderId="0" xfId="8" applyFont="1" applyBorder="1"/>
    <xf numFmtId="0" fontId="88" fillId="0" borderId="0" xfId="8" applyFont="1" applyBorder="1"/>
    <xf numFmtId="9" fontId="88" fillId="0" borderId="0" xfId="8" applyNumberFormat="1" applyFont="1" applyBorder="1"/>
    <xf numFmtId="10" fontId="2" fillId="0" borderId="0" xfId="8" applyNumberFormat="1" applyBorder="1"/>
    <xf numFmtId="10" fontId="2" fillId="0" borderId="0" xfId="8" applyNumberFormat="1" applyFont="1" applyBorder="1"/>
    <xf numFmtId="0" fontId="2" fillId="0" borderId="20" xfId="8" applyFont="1" applyBorder="1"/>
    <xf numFmtId="0" fontId="2" fillId="0" borderId="20" xfId="8" applyFont="1" applyBorder="1" applyAlignment="1">
      <alignment horizontal="right"/>
    </xf>
    <xf numFmtId="169" fontId="2" fillId="0" borderId="0" xfId="8" applyNumberFormat="1" applyBorder="1"/>
    <xf numFmtId="1" fontId="89" fillId="0" borderId="0" xfId="8" applyNumberFormat="1" applyFont="1" applyBorder="1"/>
    <xf numFmtId="0" fontId="2" fillId="0" borderId="51" xfId="8" applyBorder="1"/>
    <xf numFmtId="1" fontId="2" fillId="0" borderId="51" xfId="8" applyNumberFormat="1" applyBorder="1"/>
    <xf numFmtId="0" fontId="2" fillId="0" borderId="24" xfId="8" applyBorder="1" applyAlignment="1">
      <alignment horizontal="right"/>
    </xf>
    <xf numFmtId="2" fontId="2" fillId="0" borderId="2" xfId="8" applyNumberFormat="1" applyBorder="1"/>
    <xf numFmtId="0" fontId="2" fillId="0" borderId="2" xfId="8" applyFont="1" applyBorder="1"/>
    <xf numFmtId="0" fontId="89" fillId="0" borderId="0" xfId="8" applyFont="1" applyBorder="1"/>
    <xf numFmtId="1" fontId="2" fillId="0" borderId="2" xfId="8" applyNumberFormat="1" applyBorder="1"/>
    <xf numFmtId="0" fontId="33" fillId="0" borderId="2" xfId="8" applyFont="1" applyBorder="1"/>
    <xf numFmtId="0" fontId="33" fillId="0" borderId="0" xfId="8" applyFont="1"/>
    <xf numFmtId="0" fontId="90" fillId="0" borderId="0" xfId="8" applyFont="1" applyBorder="1"/>
    <xf numFmtId="0" fontId="33" fillId="0" borderId="0" xfId="8" applyFont="1" applyBorder="1"/>
    <xf numFmtId="0" fontId="33" fillId="0" borderId="24" xfId="8" applyFont="1" applyBorder="1" applyAlignment="1">
      <alignment horizontal="right"/>
    </xf>
    <xf numFmtId="0" fontId="2" fillId="0" borderId="0" xfId="8" applyFont="1"/>
    <xf numFmtId="0" fontId="2" fillId="0" borderId="24" xfId="8" applyFont="1" applyBorder="1" applyAlignment="1">
      <alignment horizontal="right"/>
    </xf>
    <xf numFmtId="1" fontId="33" fillId="0" borderId="2" xfId="8" applyNumberFormat="1" applyFont="1" applyBorder="1"/>
    <xf numFmtId="1" fontId="2" fillId="0" borderId="2" xfId="8" applyNumberFormat="1" applyFont="1" applyBorder="1"/>
    <xf numFmtId="0" fontId="33" fillId="0" borderId="51" xfId="8" applyFont="1" applyBorder="1"/>
    <xf numFmtId="0" fontId="33" fillId="0" borderId="0" xfId="8" applyFont="1" applyBorder="1" applyAlignment="1">
      <alignment horizontal="center"/>
    </xf>
    <xf numFmtId="0" fontId="2" fillId="0" borderId="0" xfId="8" applyFont="1" applyAlignment="1">
      <alignment horizontal="right"/>
    </xf>
    <xf numFmtId="1" fontId="33" fillId="0" borderId="0" xfId="8" applyNumberFormat="1" applyFont="1" applyBorder="1"/>
    <xf numFmtId="0" fontId="2" fillId="0" borderId="0" xfId="8" applyAlignment="1">
      <alignment horizontal="center"/>
    </xf>
    <xf numFmtId="17" fontId="2" fillId="0" borderId="0" xfId="8" applyNumberFormat="1" applyBorder="1"/>
    <xf numFmtId="0" fontId="91" fillId="0" borderId="0" xfId="8" applyFont="1" applyBorder="1"/>
    <xf numFmtId="0" fontId="86" fillId="0" borderId="0" xfId="8" applyFont="1" applyBorder="1"/>
    <xf numFmtId="0" fontId="92" fillId="0" borderId="0" xfId="8" applyFont="1" applyBorder="1"/>
    <xf numFmtId="0" fontId="58" fillId="0" borderId="0" xfId="8" applyFont="1" applyBorder="1"/>
    <xf numFmtId="0" fontId="58" fillId="0" borderId="0" xfId="8" applyFont="1" applyBorder="1" applyAlignment="1">
      <alignment horizontal="center"/>
    </xf>
    <xf numFmtId="0" fontId="93" fillId="0" borderId="0" xfId="8" applyFont="1" applyBorder="1"/>
    <xf numFmtId="9" fontId="93" fillId="0" borderId="0" xfId="8" applyNumberFormat="1" applyFont="1" applyBorder="1"/>
    <xf numFmtId="1" fontId="92" fillId="0" borderId="0" xfId="8" applyNumberFormat="1" applyFont="1" applyBorder="1"/>
    <xf numFmtId="0" fontId="34" fillId="0" borderId="0" xfId="8" applyFont="1" applyBorder="1"/>
    <xf numFmtId="10" fontId="58" fillId="0" borderId="0" xfId="8" applyNumberFormat="1" applyFont="1" applyBorder="1"/>
    <xf numFmtId="17" fontId="58" fillId="0" borderId="0" xfId="8" applyNumberFormat="1" applyFont="1" applyBorder="1"/>
    <xf numFmtId="0" fontId="58" fillId="0" borderId="51" xfId="8" applyFont="1" applyBorder="1"/>
    <xf numFmtId="1" fontId="58" fillId="0" borderId="51" xfId="8" applyNumberFormat="1" applyFont="1" applyBorder="1"/>
    <xf numFmtId="0" fontId="58" fillId="0" borderId="0" xfId="8" applyFont="1" applyAlignment="1">
      <alignment horizontal="right"/>
    </xf>
    <xf numFmtId="0" fontId="58" fillId="0" borderId="0" xfId="8" applyFont="1"/>
    <xf numFmtId="1" fontId="2" fillId="0" borderId="20" xfId="8" applyNumberFormat="1" applyBorder="1"/>
    <xf numFmtId="0" fontId="2" fillId="0" borderId="20" xfId="8" applyBorder="1"/>
    <xf numFmtId="0" fontId="2" fillId="0" borderId="45" xfId="8" applyBorder="1"/>
    <xf numFmtId="0" fontId="2" fillId="0" borderId="69" xfId="8" applyFont="1" applyBorder="1"/>
    <xf numFmtId="0" fontId="2" fillId="0" borderId="69" xfId="8" applyFont="1" applyBorder="1" applyAlignment="1">
      <alignment horizontal="center"/>
    </xf>
    <xf numFmtId="0" fontId="2" fillId="0" borderId="62" xfId="8" applyFont="1" applyBorder="1" applyAlignment="1">
      <alignment horizontal="center"/>
    </xf>
    <xf numFmtId="0" fontId="2" fillId="0" borderId="70" xfId="8" applyFont="1" applyBorder="1"/>
    <xf numFmtId="10" fontId="2" fillId="0" borderId="71" xfId="8" applyNumberFormat="1" applyFont="1" applyBorder="1"/>
    <xf numFmtId="169" fontId="2" fillId="0" borderId="70" xfId="8" applyNumberFormat="1" applyBorder="1"/>
    <xf numFmtId="0" fontId="81" fillId="0" borderId="71" xfId="8" applyFont="1" applyBorder="1"/>
    <xf numFmtId="170" fontId="2" fillId="0" borderId="70" xfId="8" applyNumberFormat="1" applyBorder="1"/>
    <xf numFmtId="0" fontId="33" fillId="0" borderId="44" xfId="8" applyFont="1" applyBorder="1"/>
    <xf numFmtId="0" fontId="33" fillId="0" borderId="72" xfId="8" applyFont="1" applyBorder="1"/>
    <xf numFmtId="0" fontId="33" fillId="0" borderId="61" xfId="8" applyFont="1" applyBorder="1"/>
    <xf numFmtId="0" fontId="58" fillId="0" borderId="45" xfId="8" applyFont="1" applyBorder="1"/>
    <xf numFmtId="0" fontId="58" fillId="0" borderId="69" xfId="8" applyFont="1" applyBorder="1"/>
    <xf numFmtId="0" fontId="58" fillId="0" borderId="70" xfId="8" applyFont="1" applyBorder="1"/>
    <xf numFmtId="169" fontId="58" fillId="0" borderId="70" xfId="8" applyNumberFormat="1" applyFont="1" applyBorder="1"/>
    <xf numFmtId="170" fontId="58" fillId="0" borderId="70" xfId="8" applyNumberFormat="1" applyFont="1" applyBorder="1"/>
    <xf numFmtId="0" fontId="34" fillId="0" borderId="44" xfId="8" applyFont="1" applyBorder="1"/>
    <xf numFmtId="0" fontId="58" fillId="0" borderId="56" xfId="8" applyFont="1" applyBorder="1" applyAlignment="1">
      <alignment horizontal="right"/>
    </xf>
    <xf numFmtId="0" fontId="58" fillId="0" borderId="20" xfId="8" applyFont="1" applyBorder="1"/>
    <xf numFmtId="0" fontId="34" fillId="0" borderId="51" xfId="8" applyFont="1" applyBorder="1"/>
    <xf numFmtId="0" fontId="60" fillId="0" borderId="0" xfId="8" applyFont="1" applyBorder="1"/>
    <xf numFmtId="0" fontId="60" fillId="0" borderId="0" xfId="8" applyFont="1"/>
    <xf numFmtId="0" fontId="60" fillId="0" borderId="45" xfId="8" applyFont="1" applyBorder="1"/>
    <xf numFmtId="0" fontId="60" fillId="0" borderId="70" xfId="8" applyFont="1" applyBorder="1"/>
    <xf numFmtId="0" fontId="50" fillId="0" borderId="0" xfId="8" applyFont="1" applyBorder="1"/>
    <xf numFmtId="169" fontId="60" fillId="0" borderId="70" xfId="8" applyNumberFormat="1" applyFont="1" applyBorder="1"/>
    <xf numFmtId="0" fontId="85" fillId="0" borderId="0" xfId="8" applyFont="1" applyBorder="1"/>
    <xf numFmtId="170" fontId="60" fillId="0" borderId="70" xfId="8" applyNumberFormat="1" applyFont="1" applyBorder="1"/>
    <xf numFmtId="0" fontId="61" fillId="0" borderId="44" xfId="8" applyFont="1" applyBorder="1"/>
    <xf numFmtId="0" fontId="60" fillId="0" borderId="51" xfId="8" applyFont="1" applyBorder="1"/>
    <xf numFmtId="0" fontId="60" fillId="0" borderId="56" xfId="8" applyFont="1" applyBorder="1" applyAlignment="1">
      <alignment horizontal="right"/>
    </xf>
    <xf numFmtId="0" fontId="60" fillId="0" borderId="20" xfId="8" applyFont="1" applyBorder="1"/>
    <xf numFmtId="0" fontId="61" fillId="0" borderId="51" xfId="8" applyFont="1" applyBorder="1"/>
    <xf numFmtId="0" fontId="2" fillId="0" borderId="45" xfId="8" applyFont="1" applyBorder="1"/>
    <xf numFmtId="0" fontId="2" fillId="0" borderId="69" xfId="8" applyBorder="1"/>
    <xf numFmtId="10" fontId="2" fillId="0" borderId="62" xfId="8" applyNumberFormat="1" applyBorder="1"/>
    <xf numFmtId="0" fontId="2" fillId="0" borderId="71" xfId="8" applyFont="1" applyBorder="1"/>
    <xf numFmtId="17" fontId="2" fillId="0" borderId="70" xfId="8" applyNumberFormat="1" applyBorder="1"/>
    <xf numFmtId="17" fontId="2" fillId="0" borderId="45" xfId="8" applyNumberFormat="1" applyBorder="1"/>
    <xf numFmtId="17" fontId="2" fillId="0" borderId="70" xfId="8" applyNumberFormat="1" applyFont="1" applyBorder="1" applyAlignment="1">
      <alignment horizontal="right"/>
    </xf>
    <xf numFmtId="0" fontId="2" fillId="0" borderId="70" xfId="8" applyBorder="1"/>
    <xf numFmtId="0" fontId="2" fillId="0" borderId="44" xfId="8" applyBorder="1"/>
    <xf numFmtId="0" fontId="24" fillId="0" borderId="0" xfId="8" applyFont="1" applyBorder="1"/>
    <xf numFmtId="0" fontId="24" fillId="0" borderId="0" xfId="8" applyFont="1"/>
    <xf numFmtId="0" fontId="24" fillId="0" borderId="45" xfId="8" applyFont="1" applyBorder="1"/>
    <xf numFmtId="0" fontId="24" fillId="0" borderId="69" xfId="8" applyFont="1" applyBorder="1"/>
    <xf numFmtId="0" fontId="24" fillId="0" borderId="69" xfId="8" applyFont="1" applyBorder="1" applyAlignment="1">
      <alignment horizontal="center"/>
    </xf>
    <xf numFmtId="0" fontId="24" fillId="0" borderId="62" xfId="8" applyFont="1" applyBorder="1" applyAlignment="1">
      <alignment horizontal="center"/>
    </xf>
    <xf numFmtId="0" fontId="24" fillId="0" borderId="0" xfId="8" applyFont="1" applyBorder="1" applyAlignment="1">
      <alignment horizontal="center"/>
    </xf>
    <xf numFmtId="0" fontId="24" fillId="0" borderId="70" xfId="8" applyFont="1" applyBorder="1"/>
    <xf numFmtId="10" fontId="24" fillId="0" borderId="71" xfId="8" applyNumberFormat="1" applyFont="1" applyBorder="1"/>
    <xf numFmtId="0" fontId="94" fillId="0" borderId="0" xfId="8" applyFont="1" applyBorder="1"/>
    <xf numFmtId="10" fontId="24" fillId="0" borderId="0" xfId="8" applyNumberFormat="1" applyFont="1" applyBorder="1"/>
    <xf numFmtId="169" fontId="24" fillId="0" borderId="70" xfId="8" applyNumberFormat="1" applyFont="1" applyBorder="1"/>
    <xf numFmtId="0" fontId="24" fillId="0" borderId="71" xfId="8" applyFont="1" applyBorder="1"/>
    <xf numFmtId="17" fontId="24" fillId="0" borderId="0" xfId="8" applyNumberFormat="1" applyFont="1" applyBorder="1"/>
    <xf numFmtId="169" fontId="24" fillId="0" borderId="70" xfId="8" applyNumberFormat="1" applyFont="1" applyBorder="1" applyAlignment="1">
      <alignment horizontal="right"/>
    </xf>
    <xf numFmtId="0" fontId="35" fillId="0" borderId="0" xfId="8" applyFont="1" applyBorder="1"/>
    <xf numFmtId="0" fontId="35" fillId="0" borderId="0" xfId="8" applyFont="1"/>
    <xf numFmtId="0" fontId="24" fillId="0" borderId="71" xfId="8" applyFont="1" applyFill="1" applyBorder="1"/>
    <xf numFmtId="0" fontId="35" fillId="0" borderId="44" xfId="8" applyFont="1" applyBorder="1"/>
    <xf numFmtId="0" fontId="35" fillId="0" borderId="72" xfId="8" applyFont="1" applyBorder="1"/>
    <xf numFmtId="0" fontId="35" fillId="0" borderId="61" xfId="8" applyFont="1" applyBorder="1"/>
    <xf numFmtId="0" fontId="2" fillId="0" borderId="0" xfId="8" applyFont="1" applyBorder="1" applyAlignment="1">
      <alignment horizontal="right"/>
    </xf>
    <xf numFmtId="0" fontId="24" fillId="0" borderId="2" xfId="8" applyFont="1" applyBorder="1"/>
    <xf numFmtId="0" fontId="24" fillId="0" borderId="2" xfId="8" applyFont="1" applyBorder="1" applyAlignment="1">
      <alignment horizontal="right"/>
    </xf>
    <xf numFmtId="17" fontId="2" fillId="0" borderId="0" xfId="8" applyNumberFormat="1" applyBorder="1" applyAlignment="1">
      <alignment horizontal="right"/>
    </xf>
    <xf numFmtId="0" fontId="7" fillId="10" borderId="35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/>
    <xf numFmtId="0" fontId="7" fillId="10" borderId="2" xfId="0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0" fontId="95" fillId="10" borderId="2" xfId="0" applyFont="1" applyFill="1" applyBorder="1" applyAlignment="1"/>
    <xf numFmtId="0" fontId="96" fillId="0" borderId="2" xfId="0" applyFont="1" applyBorder="1" applyAlignment="1">
      <alignment horizontal="center"/>
    </xf>
    <xf numFmtId="0" fontId="96" fillId="0" borderId="2" xfId="0" applyFont="1" applyBorder="1" applyAlignment="1"/>
    <xf numFmtId="2" fontId="96" fillId="0" borderId="2" xfId="0" applyNumberFormat="1" applyFont="1" applyBorder="1" applyAlignment="1"/>
    <xf numFmtId="0" fontId="95" fillId="0" borderId="2" xfId="0" applyFont="1" applyBorder="1" applyAlignment="1">
      <alignment horizontal="center"/>
    </xf>
    <xf numFmtId="0" fontId="95" fillId="0" borderId="2" xfId="0" applyFont="1" applyBorder="1" applyAlignment="1"/>
    <xf numFmtId="2" fontId="95" fillId="0" borderId="2" xfId="0" applyNumberFormat="1" applyFont="1" applyBorder="1" applyAlignment="1"/>
    <xf numFmtId="1" fontId="13" fillId="0" borderId="18" xfId="0" applyNumberFormat="1" applyFont="1" applyBorder="1" applyAlignment="1"/>
    <xf numFmtId="1" fontId="13" fillId="0" borderId="6" xfId="0" applyNumberFormat="1" applyFont="1" applyBorder="1" applyAlignment="1"/>
    <xf numFmtId="1" fontId="13" fillId="0" borderId="19" xfId="0" applyNumberFormat="1" applyFont="1" applyBorder="1" applyAlignment="1"/>
    <xf numFmtId="1" fontId="13" fillId="0" borderId="43" xfId="0" applyNumberFormat="1" applyFont="1" applyBorder="1" applyAlignment="1"/>
    <xf numFmtId="1" fontId="13" fillId="0" borderId="3" xfId="0" applyNumberFormat="1" applyFont="1" applyBorder="1" applyAlignment="1"/>
    <xf numFmtId="1" fontId="13" fillId="0" borderId="2" xfId="0" applyNumberFormat="1" applyFont="1" applyBorder="1" applyAlignment="1"/>
    <xf numFmtId="1" fontId="13" fillId="0" borderId="17" xfId="0" applyNumberFormat="1" applyFont="1" applyBorder="1" applyAlignment="1"/>
    <xf numFmtId="1" fontId="96" fillId="0" borderId="2" xfId="0" applyNumberFormat="1" applyFont="1" applyBorder="1" applyAlignment="1">
      <alignment horizontal="center"/>
    </xf>
    <xf numFmtId="0" fontId="96" fillId="0" borderId="2" xfId="0" applyFont="1" applyBorder="1" applyAlignment="1">
      <alignment wrapText="1"/>
    </xf>
    <xf numFmtId="0" fontId="96" fillId="0" borderId="2" xfId="0" applyFont="1" applyBorder="1" applyAlignment="1">
      <alignment horizontal="center" vertical="center"/>
    </xf>
    <xf numFmtId="0" fontId="95" fillId="0" borderId="2" xfId="0" applyFont="1" applyBorder="1" applyAlignment="1">
      <alignment horizontal="left"/>
    </xf>
    <xf numFmtId="1" fontId="95" fillId="0" borderId="2" xfId="0" applyNumberFormat="1" applyFont="1" applyBorder="1" applyAlignment="1">
      <alignment horizontal="center"/>
    </xf>
    <xf numFmtId="0" fontId="95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73" fillId="0" borderId="2" xfId="9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2" fillId="0" borderId="0" xfId="10" applyFont="1" applyAlignment="1">
      <alignment horizontal="center"/>
    </xf>
    <xf numFmtId="0" fontId="63" fillId="0" borderId="0" xfId="10" applyFont="1" applyAlignment="1">
      <alignment horizontal="center"/>
    </xf>
    <xf numFmtId="0" fontId="62" fillId="0" borderId="0" xfId="10" applyFont="1" applyAlignment="1">
      <alignment horizontal="center" wrapText="1"/>
    </xf>
    <xf numFmtId="0" fontId="64" fillId="0" borderId="0" xfId="10" applyFont="1" applyAlignment="1">
      <alignment horizontal="center"/>
    </xf>
    <xf numFmtId="0" fontId="65" fillId="0" borderId="0" xfId="10" applyFont="1" applyAlignment="1">
      <alignment horizontal="center"/>
    </xf>
    <xf numFmtId="0" fontId="97" fillId="0" borderId="0" xfId="10" applyFont="1" applyAlignment="1">
      <alignment horizontal="center"/>
    </xf>
    <xf numFmtId="0" fontId="98" fillId="0" borderId="0" xfId="10" applyFont="1" applyAlignment="1">
      <alignment horizontal="center"/>
    </xf>
    <xf numFmtId="0" fontId="52" fillId="0" borderId="0" xfId="10"/>
    <xf numFmtId="0" fontId="63" fillId="0" borderId="0" xfId="10" applyNumberFormat="1" applyFont="1" applyAlignment="1" applyProtection="1">
      <alignment horizontal="center" wrapText="1"/>
      <protection locked="0"/>
    </xf>
    <xf numFmtId="0" fontId="62" fillId="0" borderId="0" xfId="10" applyNumberFormat="1" applyFont="1" applyAlignment="1" applyProtection="1">
      <alignment horizontal="center" wrapText="1"/>
      <protection locked="0"/>
    </xf>
    <xf numFmtId="0" fontId="64" fillId="0" borderId="0" xfId="10" applyNumberFormat="1" applyFont="1" applyAlignment="1" applyProtection="1">
      <alignment horizontal="center" wrapText="1"/>
      <protection locked="0"/>
    </xf>
    <xf numFmtId="0" fontId="65" fillId="0" borderId="0" xfId="10" applyNumberFormat="1" applyFont="1" applyAlignment="1" applyProtection="1">
      <alignment horizontal="center" wrapText="1"/>
      <protection locked="0"/>
    </xf>
    <xf numFmtId="0" fontId="97" fillId="0" borderId="0" xfId="10" applyNumberFormat="1" applyFont="1" applyAlignment="1" applyProtection="1">
      <alignment horizontal="center" wrapText="1"/>
      <protection locked="0"/>
    </xf>
    <xf numFmtId="0" fontId="98" fillId="0" borderId="0" xfId="10" applyNumberFormat="1" applyFont="1" applyAlignment="1" applyProtection="1">
      <alignment horizontal="center" wrapText="1"/>
      <protection locked="0"/>
    </xf>
    <xf numFmtId="0" fontId="64" fillId="0" borderId="0" xfId="10" applyFont="1" applyAlignment="1">
      <alignment horizontal="center" wrapText="1"/>
    </xf>
    <xf numFmtId="0" fontId="63" fillId="9" borderId="0" xfId="10" applyNumberFormat="1" applyFont="1" applyFill="1" applyAlignment="1" applyProtection="1">
      <alignment horizontal="center"/>
      <protection locked="0"/>
    </xf>
    <xf numFmtId="0" fontId="65" fillId="0" borderId="0" xfId="10" applyNumberFormat="1" applyFont="1" applyAlignment="1" applyProtection="1">
      <alignment horizontal="center"/>
      <protection locked="0"/>
    </xf>
    <xf numFmtId="0" fontId="64" fillId="0" borderId="0" xfId="10" applyNumberFormat="1" applyFont="1" applyAlignment="1" applyProtection="1">
      <alignment horizontal="center"/>
      <protection locked="0"/>
    </xf>
    <xf numFmtId="0" fontId="66" fillId="0" borderId="0" xfId="10" applyNumberFormat="1" applyFont="1" applyAlignment="1" applyProtection="1">
      <alignment horizontal="center"/>
      <protection locked="0"/>
    </xf>
    <xf numFmtId="0" fontId="99" fillId="0" borderId="0" xfId="10" applyNumberFormat="1" applyFont="1" applyAlignment="1" applyProtection="1">
      <alignment horizontal="center"/>
      <protection locked="0"/>
    </xf>
    <xf numFmtId="0" fontId="100" fillId="0" borderId="0" xfId="10" applyNumberFormat="1" applyFont="1" applyAlignment="1" applyProtection="1">
      <alignment horizontal="center"/>
    </xf>
    <xf numFmtId="0" fontId="100" fillId="0" borderId="0" xfId="10" applyNumberFormat="1" applyFont="1" applyAlignment="1" applyProtection="1">
      <alignment horizontal="center"/>
      <protection locked="0"/>
    </xf>
    <xf numFmtId="0" fontId="67" fillId="0" borderId="0" xfId="10" applyNumberFormat="1" applyFont="1" applyAlignment="1" applyProtection="1">
      <alignment horizontal="center"/>
      <protection locked="0"/>
    </xf>
    <xf numFmtId="2" fontId="52" fillId="0" borderId="0" xfId="10" applyNumberFormat="1" applyBorder="1"/>
    <xf numFmtId="0" fontId="63" fillId="0" borderId="0" xfId="10" applyNumberFormat="1" applyFont="1" applyAlignment="1" applyProtection="1">
      <alignment horizontal="center"/>
      <protection locked="0"/>
    </xf>
    <xf numFmtId="2" fontId="101" fillId="0" borderId="0" xfId="10" applyNumberFormat="1" applyFont="1" applyBorder="1"/>
    <xf numFmtId="15" fontId="66" fillId="0" borderId="0" xfId="10" applyNumberFormat="1" applyFont="1" applyAlignment="1" applyProtection="1">
      <alignment horizontal="center"/>
      <protection locked="0"/>
    </xf>
    <xf numFmtId="0" fontId="66" fillId="0" borderId="0" xfId="10" applyNumberFormat="1" applyFont="1" applyAlignment="1" applyProtection="1">
      <alignment horizontal="center"/>
    </xf>
    <xf numFmtId="2" fontId="64" fillId="0" borderId="0" xfId="10" applyNumberFormat="1" applyFont="1" applyBorder="1" applyAlignment="1">
      <alignment horizontal="center"/>
    </xf>
    <xf numFmtId="0" fontId="102" fillId="0" borderId="0" xfId="10" applyFont="1" applyAlignment="1">
      <alignment horizontal="center"/>
    </xf>
    <xf numFmtId="0" fontId="103" fillId="0" borderId="0" xfId="10" applyNumberFormat="1" applyFont="1" applyAlignment="1" applyProtection="1">
      <alignment horizontal="center"/>
      <protection locked="0"/>
    </xf>
    <xf numFmtId="0" fontId="102" fillId="0" borderId="0" xfId="10" applyNumberFormat="1" applyFont="1" applyAlignment="1" applyProtection="1">
      <alignment horizontal="center" wrapText="1"/>
      <protection locked="0"/>
    </xf>
    <xf numFmtId="0" fontId="104" fillId="0" borderId="0" xfId="10" applyNumberFormat="1" applyFont="1" applyAlignment="1" applyProtection="1">
      <alignment horizontal="center"/>
      <protection locked="0"/>
    </xf>
    <xf numFmtId="0" fontId="105" fillId="0" borderId="0" xfId="10" applyNumberFormat="1" applyFont="1" applyAlignment="1" applyProtection="1">
      <alignment horizontal="center"/>
      <protection locked="0"/>
    </xf>
    <xf numFmtId="0" fontId="106" fillId="0" borderId="0" xfId="10" applyNumberFormat="1" applyFont="1" applyAlignment="1" applyProtection="1">
      <alignment horizontal="center"/>
      <protection locked="0"/>
    </xf>
    <xf numFmtId="0" fontId="107" fillId="0" borderId="0" xfId="10" applyNumberFormat="1" applyFont="1" applyAlignment="1" applyProtection="1">
      <alignment horizontal="center"/>
      <protection locked="0"/>
    </xf>
    <xf numFmtId="2" fontId="106" fillId="0" borderId="0" xfId="10" applyNumberFormat="1" applyFont="1" applyBorder="1" applyAlignment="1" applyProtection="1">
      <alignment horizontal="center"/>
      <protection locked="0"/>
    </xf>
    <xf numFmtId="0" fontId="105" fillId="0" borderId="0" xfId="10" applyFont="1" applyAlignment="1">
      <alignment horizontal="center"/>
    </xf>
    <xf numFmtId="2" fontId="52" fillId="0" borderId="0" xfId="10" applyNumberFormat="1" applyFont="1" applyBorder="1"/>
    <xf numFmtId="0" fontId="62" fillId="9" borderId="0" xfId="10" applyNumberFormat="1" applyFont="1" applyFill="1" applyAlignment="1" applyProtection="1">
      <alignment horizontal="center" wrapText="1"/>
      <protection locked="0"/>
    </xf>
    <xf numFmtId="2" fontId="73" fillId="0" borderId="0" xfId="10" applyNumberFormat="1" applyFont="1" applyBorder="1"/>
    <xf numFmtId="1" fontId="98" fillId="0" borderId="0" xfId="10" applyNumberFormat="1" applyFont="1" applyAlignment="1" applyProtection="1">
      <alignment horizontal="center"/>
      <protection locked="0"/>
    </xf>
    <xf numFmtId="1" fontId="105" fillId="0" borderId="0" xfId="10" applyNumberFormat="1" applyFont="1" applyAlignment="1" applyProtection="1">
      <alignment horizontal="center"/>
      <protection locked="0"/>
    </xf>
    <xf numFmtId="0" fontId="102" fillId="0" borderId="0" xfId="10" applyNumberFormat="1" applyFont="1" applyAlignment="1" applyProtection="1">
      <alignment horizontal="center"/>
      <protection locked="0"/>
    </xf>
    <xf numFmtId="0" fontId="62" fillId="12" borderId="0" xfId="10" applyNumberFormat="1" applyFont="1" applyFill="1" applyAlignment="1" applyProtection="1">
      <alignment horizontal="center" wrapText="1"/>
      <protection locked="0"/>
    </xf>
    <xf numFmtId="0" fontId="97" fillId="0" borderId="0" xfId="10" applyNumberFormat="1" applyFont="1" applyAlignment="1" applyProtection="1">
      <alignment horizontal="center"/>
      <protection locked="0"/>
    </xf>
    <xf numFmtId="0" fontId="98" fillId="0" borderId="0" xfId="10" applyNumberFormat="1" applyFont="1" applyAlignment="1" applyProtection="1">
      <alignment horizontal="center"/>
      <protection locked="0"/>
    </xf>
    <xf numFmtId="15" fontId="67" fillId="0" borderId="0" xfId="10" applyNumberFormat="1" applyFont="1" applyAlignment="1" applyProtection="1">
      <alignment horizontal="center"/>
      <protection locked="0"/>
    </xf>
    <xf numFmtId="0" fontId="102" fillId="0" borderId="0" xfId="10" applyFont="1"/>
    <xf numFmtId="1" fontId="64" fillId="0" borderId="0" xfId="10" applyNumberFormat="1" applyFont="1" applyAlignment="1" applyProtection="1">
      <alignment horizontal="center"/>
      <protection locked="0"/>
    </xf>
    <xf numFmtId="1" fontId="97" fillId="0" borderId="0" xfId="10" applyNumberFormat="1" applyFont="1" applyAlignment="1" applyProtection="1">
      <alignment horizontal="center"/>
      <protection locked="0"/>
    </xf>
    <xf numFmtId="1" fontId="64" fillId="0" borderId="0" xfId="10" applyNumberFormat="1" applyFont="1" applyAlignment="1">
      <alignment horizontal="center"/>
    </xf>
    <xf numFmtId="1" fontId="65" fillId="0" borderId="0" xfId="10" applyNumberFormat="1" applyFont="1" applyAlignment="1">
      <alignment horizontal="center"/>
    </xf>
    <xf numFmtId="1" fontId="97" fillId="0" borderId="0" xfId="10" applyNumberFormat="1" applyFont="1" applyAlignment="1">
      <alignment horizontal="center"/>
    </xf>
    <xf numFmtId="1" fontId="98" fillId="0" borderId="0" xfId="10" applyNumberFormat="1" applyFont="1" applyAlignment="1">
      <alignment horizontal="center"/>
    </xf>
    <xf numFmtId="0" fontId="68" fillId="0" borderId="0" xfId="10" applyFont="1" applyAlignment="1">
      <alignment horizontal="center"/>
    </xf>
    <xf numFmtId="0" fontId="108" fillId="0" borderId="0" xfId="10" applyFont="1" applyAlignment="1">
      <alignment horizontal="center"/>
    </xf>
    <xf numFmtId="0" fontId="109" fillId="0" borderId="0" xfId="10" applyFont="1" applyAlignment="1">
      <alignment horizontal="center"/>
    </xf>
    <xf numFmtId="1" fontId="108" fillId="0" borderId="0" xfId="10" applyNumberFormat="1" applyFont="1" applyAlignment="1">
      <alignment horizontal="center"/>
    </xf>
    <xf numFmtId="0" fontId="69" fillId="0" borderId="0" xfId="10" applyFont="1" applyAlignment="1">
      <alignment horizontal="center"/>
    </xf>
    <xf numFmtId="0" fontId="69" fillId="0" borderId="0" xfId="10" applyNumberFormat="1" applyFont="1" applyAlignment="1" applyProtection="1">
      <alignment horizontal="center" wrapText="1"/>
      <protection locked="0"/>
    </xf>
    <xf numFmtId="0" fontId="64" fillId="13" borderId="0" xfId="10" applyNumberFormat="1" applyFont="1" applyFill="1" applyAlignment="1" applyProtection="1">
      <alignment horizontal="center"/>
      <protection locked="0"/>
    </xf>
    <xf numFmtId="0" fontId="52" fillId="0" borderId="0" xfId="10" applyBorder="1"/>
    <xf numFmtId="0" fontId="66" fillId="0" borderId="23" xfId="10" applyNumberFormat="1" applyFont="1" applyBorder="1" applyAlignment="1" applyProtection="1">
      <alignment horizontal="center"/>
      <protection locked="0"/>
    </xf>
    <xf numFmtId="0" fontId="64" fillId="0" borderId="23" xfId="10" applyNumberFormat="1" applyFont="1" applyBorder="1" applyAlignment="1" applyProtection="1">
      <alignment horizontal="center"/>
      <protection locked="0"/>
    </xf>
    <xf numFmtId="0" fontId="97" fillId="0" borderId="23" xfId="10" applyNumberFormat="1" applyFont="1" applyBorder="1" applyAlignment="1" applyProtection="1">
      <alignment horizontal="center"/>
      <protection locked="0"/>
    </xf>
    <xf numFmtId="0" fontId="98" fillId="0" borderId="23" xfId="10" applyNumberFormat="1" applyFont="1" applyBorder="1" applyAlignment="1" applyProtection="1">
      <alignment horizontal="center"/>
      <protection locked="0"/>
    </xf>
    <xf numFmtId="2" fontId="66" fillId="0" borderId="0" xfId="10" applyNumberFormat="1" applyFont="1" applyAlignment="1" applyProtection="1">
      <alignment horizontal="center"/>
      <protection locked="0"/>
    </xf>
    <xf numFmtId="2" fontId="66" fillId="0" borderId="0" xfId="10" applyNumberFormat="1" applyFont="1" applyBorder="1" applyAlignment="1" applyProtection="1">
      <alignment horizontal="center"/>
      <protection locked="0"/>
    </xf>
    <xf numFmtId="0" fontId="64" fillId="9" borderId="0" xfId="10" applyNumberFormat="1" applyFont="1" applyFill="1" applyAlignment="1" applyProtection="1">
      <alignment horizontal="center" wrapText="1"/>
      <protection locked="0"/>
    </xf>
    <xf numFmtId="15" fontId="66" fillId="0" borderId="23" xfId="10" applyNumberFormat="1" applyFont="1" applyBorder="1" applyAlignment="1" applyProtection="1">
      <alignment horizontal="center"/>
      <protection locked="0"/>
    </xf>
    <xf numFmtId="0" fontId="99" fillId="0" borderId="23" xfId="10" applyNumberFormat="1" applyFont="1" applyBorder="1" applyAlignment="1" applyProtection="1">
      <alignment horizontal="center"/>
      <protection locked="0"/>
    </xf>
    <xf numFmtId="0" fontId="100" fillId="0" borderId="23" xfId="10" applyNumberFormat="1" applyFont="1" applyBorder="1" applyAlignment="1" applyProtection="1">
      <alignment horizontal="center"/>
      <protection locked="0"/>
    </xf>
    <xf numFmtId="1" fontId="64" fillId="0" borderId="23" xfId="10" applyNumberFormat="1" applyFont="1" applyBorder="1" applyAlignment="1" applyProtection="1">
      <alignment horizontal="center"/>
      <protection locked="0"/>
    </xf>
    <xf numFmtId="0" fontId="68" fillId="0" borderId="0" xfId="10" applyFont="1"/>
    <xf numFmtId="0" fontId="68" fillId="0" borderId="0" xfId="10" applyFont="1" applyAlignment="1">
      <alignment wrapText="1"/>
    </xf>
    <xf numFmtId="0" fontId="108" fillId="0" borderId="0" xfId="10" applyFont="1"/>
    <xf numFmtId="0" fontId="109" fillId="0" borderId="0" xfId="10" applyFont="1"/>
    <xf numFmtId="0" fontId="68" fillId="0" borderId="0" xfId="10" applyFont="1" applyAlignment="1">
      <alignment horizontal="center" wrapText="1"/>
    </xf>
    <xf numFmtId="0" fontId="68" fillId="0" borderId="0" xfId="10" applyNumberFormat="1" applyFont="1" applyAlignment="1" applyProtection="1">
      <alignment horizontal="left" wrapText="1"/>
      <protection locked="0"/>
    </xf>
    <xf numFmtId="0" fontId="108" fillId="0" borderId="0" xfId="10" applyNumberFormat="1" applyFont="1" applyAlignment="1" applyProtection="1">
      <alignment horizontal="center" wrapText="1"/>
      <protection locked="0"/>
    </xf>
    <xf numFmtId="0" fontId="68" fillId="0" borderId="0" xfId="10" applyNumberFormat="1" applyFont="1" applyAlignment="1" applyProtection="1">
      <alignment horizontal="center" wrapText="1"/>
      <protection locked="0"/>
    </xf>
    <xf numFmtId="0" fontId="109" fillId="0" borderId="0" xfId="10" applyNumberFormat="1" applyFont="1" applyAlignment="1" applyProtection="1">
      <alignment horizontal="center" wrapText="1"/>
      <protection locked="0"/>
    </xf>
    <xf numFmtId="0" fontId="68" fillId="0" borderId="0" xfId="10" applyNumberFormat="1" applyFont="1" applyAlignment="1" applyProtection="1">
      <alignment horizontal="left"/>
      <protection locked="0"/>
    </xf>
    <xf numFmtId="0" fontId="108" fillId="0" borderId="0" xfId="10" applyNumberFormat="1" applyFont="1" applyAlignment="1" applyProtection="1">
      <alignment horizontal="left"/>
      <protection locked="0"/>
    </xf>
    <xf numFmtId="0" fontId="109" fillId="0" borderId="0" xfId="10" applyNumberFormat="1" applyFont="1" applyAlignment="1" applyProtection="1">
      <alignment horizontal="left"/>
      <protection locked="0"/>
    </xf>
    <xf numFmtId="16" fontId="68" fillId="0" borderId="0" xfId="10" applyNumberFormat="1" applyFont="1"/>
    <xf numFmtId="0" fontId="68" fillId="9" borderId="0" xfId="10" applyNumberFormat="1" applyFont="1" applyFill="1" applyAlignment="1" applyProtection="1">
      <alignment horizontal="center"/>
      <protection locked="0"/>
    </xf>
    <xf numFmtId="0" fontId="68" fillId="9" borderId="0" xfId="10" applyNumberFormat="1" applyFont="1" applyFill="1" applyAlignment="1" applyProtection="1">
      <alignment horizontal="center" wrapText="1"/>
      <protection locked="0"/>
    </xf>
    <xf numFmtId="0" fontId="70" fillId="0" borderId="0" xfId="10" applyNumberFormat="1" applyFont="1" applyAlignment="1" applyProtection="1">
      <alignment horizontal="center"/>
      <protection locked="0"/>
    </xf>
    <xf numFmtId="0" fontId="68" fillId="0" borderId="0" xfId="10" applyNumberFormat="1" applyFont="1" applyAlignment="1" applyProtection="1">
      <alignment horizontal="center"/>
      <protection locked="0"/>
    </xf>
    <xf numFmtId="0" fontId="110" fillId="0" borderId="0" xfId="10" applyNumberFormat="1" applyFont="1" applyAlignment="1" applyProtection="1">
      <alignment horizontal="center"/>
      <protection locked="0"/>
    </xf>
    <xf numFmtId="0" fontId="111" fillId="0" borderId="0" xfId="10" applyNumberFormat="1" applyFont="1" applyAlignment="1" applyProtection="1">
      <alignment horizontal="center"/>
      <protection locked="0"/>
    </xf>
    <xf numFmtId="1" fontId="70" fillId="0" borderId="0" xfId="10" applyNumberFormat="1" applyFont="1"/>
    <xf numFmtId="0" fontId="71" fillId="0" borderId="0" xfId="10" applyFont="1"/>
    <xf numFmtId="0" fontId="108" fillId="0" borderId="0" xfId="10" applyNumberFormat="1" applyFont="1" applyAlignment="1" applyProtection="1">
      <alignment horizontal="center"/>
      <protection locked="0"/>
    </xf>
    <xf numFmtId="0" fontId="109" fillId="0" borderId="0" xfId="10" applyNumberFormat="1" applyFont="1" applyAlignment="1" applyProtection="1">
      <alignment horizontal="center"/>
      <protection locked="0"/>
    </xf>
    <xf numFmtId="1" fontId="68" fillId="0" borderId="0" xfId="10" applyNumberFormat="1" applyFont="1"/>
    <xf numFmtId="15" fontId="70" fillId="0" borderId="0" xfId="10" applyNumberFormat="1" applyFont="1" applyAlignment="1" applyProtection="1">
      <alignment horizontal="center"/>
      <protection locked="0"/>
    </xf>
    <xf numFmtId="1" fontId="70" fillId="0" borderId="0" xfId="10" applyNumberFormat="1" applyFont="1" applyAlignment="1" applyProtection="1">
      <alignment horizontal="center"/>
      <protection locked="0"/>
    </xf>
    <xf numFmtId="0" fontId="64" fillId="0" borderId="80" xfId="10" applyFont="1" applyBorder="1" applyAlignment="1">
      <alignment horizontal="center"/>
    </xf>
    <xf numFmtId="0" fontId="68" fillId="0" borderId="76" xfId="10" applyNumberFormat="1" applyFont="1" applyBorder="1" applyAlignment="1" applyProtection="1">
      <alignment horizontal="left" wrapText="1"/>
      <protection locked="0"/>
    </xf>
    <xf numFmtId="0" fontId="64" fillId="0" borderId="76" xfId="10" applyNumberFormat="1" applyFont="1" applyBorder="1" applyAlignment="1" applyProtection="1">
      <alignment horizontal="center" wrapText="1"/>
      <protection locked="0"/>
    </xf>
    <xf numFmtId="0" fontId="108" fillId="0" borderId="76" xfId="10" applyNumberFormat="1" applyFont="1" applyBorder="1" applyAlignment="1" applyProtection="1">
      <alignment horizontal="center" wrapText="1"/>
      <protection locked="0"/>
    </xf>
    <xf numFmtId="0" fontId="68" fillId="0" borderId="76" xfId="10" applyNumberFormat="1" applyFont="1" applyBorder="1" applyAlignment="1" applyProtection="1">
      <alignment horizontal="center" wrapText="1"/>
      <protection locked="0"/>
    </xf>
    <xf numFmtId="0" fontId="109" fillId="0" borderId="46" xfId="10" applyNumberFormat="1" applyFont="1" applyBorder="1" applyAlignment="1" applyProtection="1">
      <alignment horizontal="center" wrapText="1"/>
      <protection locked="0"/>
    </xf>
    <xf numFmtId="0" fontId="109" fillId="0" borderId="0" xfId="10" applyNumberFormat="1" applyFont="1" applyBorder="1" applyAlignment="1" applyProtection="1">
      <alignment horizontal="center" wrapText="1"/>
      <protection locked="0"/>
    </xf>
    <xf numFmtId="0" fontId="109" fillId="0" borderId="0" xfId="10" applyFont="1" applyAlignment="1">
      <alignment wrapText="1"/>
    </xf>
    <xf numFmtId="1" fontId="64" fillId="0" borderId="76" xfId="10" applyNumberFormat="1" applyFont="1" applyBorder="1" applyAlignment="1">
      <alignment horizontal="center"/>
    </xf>
    <xf numFmtId="0" fontId="64" fillId="0" borderId="76" xfId="10" applyFont="1" applyBorder="1" applyAlignment="1">
      <alignment horizontal="center"/>
    </xf>
    <xf numFmtId="1" fontId="97" fillId="0" borderId="76" xfId="10" applyNumberFormat="1" applyFont="1" applyBorder="1" applyAlignment="1">
      <alignment horizontal="center"/>
    </xf>
    <xf numFmtId="1" fontId="98" fillId="0" borderId="46" xfId="10" applyNumberFormat="1" applyFont="1" applyBorder="1" applyAlignment="1">
      <alignment horizontal="center"/>
    </xf>
    <xf numFmtId="1" fontId="98" fillId="0" borderId="0" xfId="10" applyNumberFormat="1" applyFont="1" applyBorder="1" applyAlignment="1">
      <alignment horizontal="center"/>
    </xf>
    <xf numFmtId="1" fontId="68" fillId="0" borderId="0" xfId="10" applyNumberFormat="1" applyFont="1" applyAlignment="1">
      <alignment horizontal="center"/>
    </xf>
    <xf numFmtId="0" fontId="64" fillId="0" borderId="53" xfId="10" applyFont="1" applyBorder="1" applyAlignment="1">
      <alignment horizontal="center"/>
    </xf>
    <xf numFmtId="0" fontId="64" fillId="0" borderId="0" xfId="10" applyFont="1" applyBorder="1" applyAlignment="1">
      <alignment horizontal="center"/>
    </xf>
    <xf numFmtId="0" fontId="97" fillId="0" borderId="0" xfId="10" applyFont="1" applyBorder="1" applyAlignment="1">
      <alignment horizontal="center"/>
    </xf>
    <xf numFmtId="0" fontId="112" fillId="14" borderId="0" xfId="10" applyFont="1" applyFill="1"/>
    <xf numFmtId="0" fontId="113" fillId="15" borderId="73" xfId="10" applyFont="1" applyFill="1" applyBorder="1"/>
    <xf numFmtId="0" fontId="113" fillId="15" borderId="54" xfId="10" applyFont="1" applyFill="1" applyBorder="1"/>
    <xf numFmtId="1" fontId="113" fillId="15" borderId="54" xfId="10" applyNumberFormat="1" applyFont="1" applyFill="1" applyBorder="1"/>
    <xf numFmtId="1" fontId="113" fillId="15" borderId="54" xfId="10" applyNumberFormat="1" applyFont="1" applyFill="1" applyBorder="1" applyAlignment="1">
      <alignment horizontal="center"/>
    </xf>
    <xf numFmtId="1" fontId="98" fillId="15" borderId="81" xfId="10" applyNumberFormat="1" applyFont="1" applyFill="1" applyBorder="1" applyAlignment="1">
      <alignment horizontal="center"/>
    </xf>
    <xf numFmtId="1" fontId="98" fillId="15" borderId="0" xfId="10" applyNumberFormat="1" applyFont="1" applyFill="1" applyBorder="1" applyAlignment="1">
      <alignment horizontal="center"/>
    </xf>
    <xf numFmtId="1" fontId="98" fillId="0" borderId="23" xfId="10" applyNumberFormat="1" applyFont="1" applyBorder="1" applyAlignment="1">
      <alignment horizontal="center"/>
    </xf>
    <xf numFmtId="2" fontId="96" fillId="0" borderId="2" xfId="0" applyNumberFormat="1" applyFont="1" applyBorder="1" applyAlignment="1">
      <alignment horizontal="center"/>
    </xf>
    <xf numFmtId="2" fontId="96" fillId="0" borderId="2" xfId="0" applyNumberFormat="1" applyFont="1" applyBorder="1" applyAlignment="1">
      <alignment horizontal="center" vertical="center"/>
    </xf>
    <xf numFmtId="2" fontId="95" fillId="0" borderId="2" xfId="0" applyNumberFormat="1" applyFont="1" applyBorder="1" applyAlignment="1">
      <alignment horizontal="center"/>
    </xf>
    <xf numFmtId="0" fontId="95" fillId="10" borderId="2" xfId="0" applyFont="1" applyFill="1" applyBorder="1" applyAlignment="1">
      <alignment horizontal="center" vertical="center"/>
    </xf>
    <xf numFmtId="2" fontId="8" fillId="0" borderId="0" xfId="0" applyNumberFormat="1" applyFont="1" applyFill="1" applyAlignment="1"/>
    <xf numFmtId="171" fontId="73" fillId="0" borderId="0" xfId="13" applyNumberFormat="1" applyFont="1" applyAlignment="1"/>
    <xf numFmtId="0" fontId="95" fillId="10" borderId="2" xfId="0" applyFont="1" applyFill="1" applyBorder="1" applyAlignment="1">
      <alignment vertical="center"/>
    </xf>
    <xf numFmtId="0" fontId="95" fillId="10" borderId="2" xfId="0" applyFont="1" applyFill="1" applyBorder="1" applyAlignment="1">
      <alignment horizontal="center" vertical="center" wrapText="1"/>
    </xf>
    <xf numFmtId="0" fontId="96" fillId="0" borderId="2" xfId="0" applyFont="1" applyBorder="1" applyAlignment="1">
      <alignment horizontal="center" wrapText="1"/>
    </xf>
    <xf numFmtId="0" fontId="96" fillId="0" borderId="2" xfId="0" applyFont="1" applyBorder="1" applyAlignment="1">
      <alignment vertical="center" wrapText="1"/>
    </xf>
    <xf numFmtId="0" fontId="96" fillId="0" borderId="2" xfId="0" applyFont="1" applyFill="1" applyBorder="1" applyAlignment="1"/>
    <xf numFmtId="165" fontId="8" fillId="0" borderId="2" xfId="0" applyNumberFormat="1" applyFont="1" applyFill="1" applyBorder="1" applyAlignment="1">
      <alignment horizontal="center"/>
    </xf>
    <xf numFmtId="0" fontId="7" fillId="10" borderId="2" xfId="0" applyFont="1" applyFill="1" applyBorder="1"/>
    <xf numFmtId="0" fontId="6" fillId="10" borderId="2" xfId="0" applyFont="1" applyFill="1" applyBorder="1" applyAlignment="1"/>
    <xf numFmtId="0" fontId="47" fillId="0" borderId="0" xfId="11" applyFont="1" applyBorder="1" applyAlignment="1">
      <alignment vertical="top" wrapText="1"/>
    </xf>
    <xf numFmtId="0" fontId="42" fillId="8" borderId="0" xfId="11" applyFont="1" applyFill="1" applyBorder="1" applyAlignment="1">
      <alignment vertical="top" wrapText="1"/>
    </xf>
    <xf numFmtId="0" fontId="42" fillId="8" borderId="0" xfId="11" applyFont="1" applyFill="1" applyBorder="1" applyAlignment="1">
      <alignment horizontal="center" vertical="top" wrapText="1"/>
    </xf>
    <xf numFmtId="0" fontId="41" fillId="0" borderId="0" xfId="11" applyFont="1" applyBorder="1" applyAlignment="1">
      <alignment horizontal="left" vertical="top" wrapText="1" indent="1"/>
    </xf>
    <xf numFmtId="0" fontId="41" fillId="0" borderId="0" xfId="11" applyFont="1" applyBorder="1" applyAlignment="1">
      <alignment vertical="top" wrapText="1"/>
    </xf>
    <xf numFmtId="2" fontId="41" fillId="0" borderId="0" xfId="11" applyNumberFormat="1" applyFont="1" applyBorder="1" applyAlignment="1">
      <alignment vertical="top" wrapText="1"/>
    </xf>
    <xf numFmtId="2" fontId="47" fillId="0" borderId="0" xfId="11" applyNumberFormat="1" applyFont="1" applyBorder="1" applyAlignment="1">
      <alignment vertical="top" wrapText="1"/>
    </xf>
    <xf numFmtId="0" fontId="47" fillId="0" borderId="0" xfId="11" applyFont="1" applyBorder="1" applyAlignment="1">
      <alignment horizontal="center" vertical="top" wrapText="1"/>
    </xf>
    <xf numFmtId="16" fontId="47" fillId="0" borderId="0" xfId="11" quotePrefix="1" applyNumberFormat="1" applyFont="1" applyBorder="1" applyAlignment="1">
      <alignment horizontal="center" vertical="top" wrapText="1"/>
    </xf>
    <xf numFmtId="14" fontId="47" fillId="0" borderId="0" xfId="11" quotePrefix="1" applyNumberFormat="1" applyFont="1" applyBorder="1" applyAlignment="1">
      <alignment horizontal="center" vertical="top" wrapText="1"/>
    </xf>
    <xf numFmtId="0" fontId="47" fillId="0" borderId="0" xfId="11" quotePrefix="1" applyFont="1" applyBorder="1" applyAlignment="1">
      <alignment horizontal="center" vertical="top" wrapText="1"/>
    </xf>
    <xf numFmtId="14" fontId="47" fillId="0" borderId="0" xfId="11" quotePrefix="1" applyNumberFormat="1" applyFont="1" applyBorder="1" applyAlignment="1">
      <alignment vertical="top" wrapText="1"/>
    </xf>
    <xf numFmtId="0" fontId="41" fillId="0" borderId="0" xfId="11" applyFont="1" applyBorder="1" applyAlignment="1">
      <alignment horizontal="justify" vertical="top" wrapText="1"/>
    </xf>
    <xf numFmtId="2" fontId="47" fillId="0" borderId="0" xfId="11" applyNumberFormat="1" applyFont="1" applyBorder="1" applyAlignment="1">
      <alignment horizontal="center" vertical="top" wrapText="1"/>
    </xf>
    <xf numFmtId="0" fontId="73" fillId="0" borderId="0" xfId="5" applyFont="1" applyAlignment="1">
      <alignment vertical="top" wrapText="1"/>
    </xf>
    <xf numFmtId="0" fontId="73" fillId="0" borderId="0" xfId="5" applyFont="1"/>
    <xf numFmtId="0" fontId="114" fillId="0" borderId="2" xfId="5" applyFont="1" applyBorder="1" applyAlignment="1">
      <alignment vertical="top" wrapText="1"/>
    </xf>
    <xf numFmtId="0" fontId="33" fillId="0" borderId="2" xfId="5" applyFont="1" applyBorder="1" applyAlignment="1">
      <alignment horizontal="left" vertical="top" wrapText="1"/>
    </xf>
    <xf numFmtId="0" fontId="73" fillId="0" borderId="0" xfId="5" applyFont="1" applyBorder="1" applyAlignment="1">
      <alignment horizontal="center" vertical="center"/>
    </xf>
    <xf numFmtId="0" fontId="33" fillId="0" borderId="0" xfId="5" applyFont="1" applyBorder="1" applyAlignment="1">
      <alignment horizontal="center" vertical="center" wrapText="1"/>
    </xf>
    <xf numFmtId="0" fontId="73" fillId="0" borderId="0" xfId="5" applyFont="1" applyBorder="1"/>
    <xf numFmtId="0" fontId="114" fillId="0" borderId="2" xfId="5" applyFont="1" applyBorder="1" applyAlignment="1">
      <alignment horizontal="center" vertical="center"/>
    </xf>
    <xf numFmtId="0" fontId="114" fillId="0" borderId="2" xfId="5" applyFont="1" applyBorder="1" applyAlignment="1">
      <alignment horizontal="center" vertical="center" wrapText="1"/>
    </xf>
    <xf numFmtId="0" fontId="114" fillId="0" borderId="2" xfId="5" applyFont="1" applyBorder="1" applyAlignment="1">
      <alignment horizontal="left" vertical="top" wrapText="1"/>
    </xf>
    <xf numFmtId="0" fontId="73" fillId="0" borderId="0" xfId="5" applyFont="1" applyBorder="1" applyAlignment="1">
      <alignment horizontal="center" vertical="center" wrapText="1"/>
    </xf>
    <xf numFmtId="0" fontId="23" fillId="0" borderId="2" xfId="5" applyFont="1" applyBorder="1" applyAlignment="1">
      <alignment horizontal="center" vertical="center" wrapText="1"/>
    </xf>
    <xf numFmtId="0" fontId="23" fillId="0" borderId="2" xfId="5" applyFont="1" applyBorder="1" applyAlignment="1">
      <alignment horizontal="left" vertical="top" wrapText="1"/>
    </xf>
    <xf numFmtId="16" fontId="114" fillId="0" borderId="2" xfId="5" quotePrefix="1" applyNumberFormat="1" applyFont="1" applyBorder="1" applyAlignment="1">
      <alignment vertical="top" wrapText="1"/>
    </xf>
    <xf numFmtId="0" fontId="115" fillId="0" borderId="2" xfId="5" applyFont="1" applyBorder="1" applyAlignment="1">
      <alignment horizontal="center" vertical="center" wrapText="1"/>
    </xf>
    <xf numFmtId="0" fontId="115" fillId="0" borderId="2" xfId="5" applyFont="1" applyBorder="1" applyAlignment="1">
      <alignment vertical="top" wrapText="1"/>
    </xf>
    <xf numFmtId="0" fontId="33" fillId="0" borderId="0" xfId="5" applyFont="1" applyBorder="1" applyAlignment="1">
      <alignment horizontal="center" vertical="center"/>
    </xf>
    <xf numFmtId="0" fontId="116" fillId="0" borderId="2" xfId="5" applyFont="1" applyBorder="1" applyAlignment="1">
      <alignment horizontal="center" vertical="center" wrapText="1"/>
    </xf>
    <xf numFmtId="0" fontId="116" fillId="0" borderId="2" xfId="5" applyFont="1" applyBorder="1" applyAlignment="1">
      <alignment vertical="top" wrapText="1"/>
    </xf>
    <xf numFmtId="166" fontId="114" fillId="0" borderId="2" xfId="5" applyNumberFormat="1" applyFont="1" applyBorder="1" applyAlignment="1">
      <alignment horizontal="center" vertical="center"/>
    </xf>
    <xf numFmtId="166" fontId="33" fillId="0" borderId="2" xfId="5" applyNumberFormat="1" applyFont="1" applyBorder="1" applyAlignment="1">
      <alignment horizontal="center" vertical="center"/>
    </xf>
    <xf numFmtId="0" fontId="116" fillId="0" borderId="2" xfId="5" applyFont="1" applyBorder="1" applyAlignment="1">
      <alignment horizontal="center" vertical="center"/>
    </xf>
    <xf numFmtId="0" fontId="73" fillId="0" borderId="0" xfId="5" applyFont="1" applyBorder="1" applyAlignment="1">
      <alignment vertical="top" wrapText="1"/>
    </xf>
    <xf numFmtId="0" fontId="8" fillId="0" borderId="0" xfId="5" applyFont="1" applyBorder="1" applyAlignment="1">
      <alignment horizontal="center" vertical="center" wrapText="1"/>
    </xf>
    <xf numFmtId="0" fontId="35" fillId="0" borderId="0" xfId="5" applyFont="1" applyBorder="1" applyAlignment="1">
      <alignment horizontal="center" vertical="center" wrapText="1"/>
    </xf>
    <xf numFmtId="0" fontId="47" fillId="0" borderId="2" xfId="11" applyFont="1" applyBorder="1" applyAlignment="1">
      <alignment vertical="top" wrapText="1"/>
    </xf>
    <xf numFmtId="0" fontId="42" fillId="16" borderId="2" xfId="11" applyFont="1" applyFill="1" applyBorder="1" applyAlignment="1">
      <alignment vertical="top" wrapText="1"/>
    </xf>
    <xf numFmtId="0" fontId="42" fillId="16" borderId="2" xfId="11" applyFont="1" applyFill="1" applyBorder="1" applyAlignment="1">
      <alignment horizontal="center" vertical="top" wrapText="1"/>
    </xf>
    <xf numFmtId="2" fontId="47" fillId="0" borderId="2" xfId="11" applyNumberFormat="1" applyFont="1" applyBorder="1" applyAlignment="1">
      <alignment horizontal="center" vertical="top" wrapText="1"/>
    </xf>
    <xf numFmtId="0" fontId="47" fillId="0" borderId="2" xfId="11" applyFont="1" applyBorder="1" applyAlignment="1">
      <alignment horizontal="center" vertical="top" wrapText="1"/>
    </xf>
    <xf numFmtId="0" fontId="114" fillId="16" borderId="2" xfId="5" applyFont="1" applyFill="1" applyBorder="1" applyAlignment="1">
      <alignment vertical="top" wrapText="1"/>
    </xf>
    <xf numFmtId="0" fontId="114" fillId="16" borderId="2" xfId="5" quotePrefix="1" applyFont="1" applyFill="1" applyBorder="1" applyAlignment="1">
      <alignment vertical="top" wrapText="1"/>
    </xf>
    <xf numFmtId="0" fontId="114" fillId="16" borderId="2" xfId="5" applyFont="1" applyFill="1" applyBorder="1" applyAlignment="1">
      <alignment horizontal="center" vertical="center" wrapText="1"/>
    </xf>
    <xf numFmtId="2" fontId="47" fillId="0" borderId="2" xfId="11" applyNumberFormat="1" applyFont="1" applyBorder="1" applyAlignment="1">
      <alignment horizontal="center" vertical="center" wrapText="1"/>
    </xf>
    <xf numFmtId="0" fontId="47" fillId="0" borderId="2" xfId="11" applyFont="1" applyBorder="1" applyAlignment="1">
      <alignment horizontal="center" vertical="center" wrapText="1"/>
    </xf>
    <xf numFmtId="0" fontId="7" fillId="16" borderId="2" xfId="0" applyFont="1" applyFill="1" applyBorder="1" applyAlignment="1"/>
    <xf numFmtId="0" fontId="7" fillId="16" borderId="2" xfId="0" applyFont="1" applyFill="1" applyBorder="1" applyAlignment="1">
      <alignment horizontal="center"/>
    </xf>
    <xf numFmtId="167" fontId="8" fillId="0" borderId="2" xfId="0" applyNumberFormat="1" applyFont="1" applyBorder="1" applyAlignment="1"/>
    <xf numFmtId="1" fontId="8" fillId="0" borderId="2" xfId="0" applyNumberFormat="1" applyFont="1" applyBorder="1" applyAlignment="1"/>
    <xf numFmtId="167" fontId="8" fillId="0" borderId="0" xfId="0" applyNumberFormat="1" applyFont="1" applyAlignment="1"/>
    <xf numFmtId="9" fontId="0" fillId="0" borderId="0" xfId="0" applyNumberFormat="1" applyAlignment="1"/>
    <xf numFmtId="0" fontId="8" fillId="0" borderId="13" xfId="0" applyFont="1" applyFill="1" applyBorder="1" applyAlignment="1">
      <alignment wrapText="1"/>
    </xf>
    <xf numFmtId="10" fontId="8" fillId="0" borderId="2" xfId="13" applyNumberFormat="1" applyFont="1" applyFill="1" applyBorder="1" applyAlignment="1"/>
    <xf numFmtId="0" fontId="7" fillId="11" borderId="12" xfId="0" applyFont="1" applyFill="1" applyBorder="1" applyAlignment="1">
      <alignment horizontal="left"/>
    </xf>
    <xf numFmtId="0" fontId="7" fillId="11" borderId="3" xfId="0" applyFont="1" applyFill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73" fillId="0" borderId="0" xfId="12" applyFont="1" applyAlignment="1">
      <alignment vertical="top" wrapText="1"/>
    </xf>
    <xf numFmtId="0" fontId="73" fillId="0" borderId="0" xfId="12" applyFont="1"/>
    <xf numFmtId="0" fontId="73" fillId="0" borderId="2" xfId="12" applyFont="1" applyBorder="1" applyAlignment="1">
      <alignment horizontal="center" vertical="top" wrapText="1"/>
    </xf>
    <xf numFmtId="0" fontId="73" fillId="0" borderId="2" xfId="12" applyFont="1" applyBorder="1" applyAlignment="1">
      <alignment vertical="top" wrapText="1"/>
    </xf>
    <xf numFmtId="166" fontId="73" fillId="0" borderId="2" xfId="12" applyNumberFormat="1" applyFont="1" applyBorder="1" applyAlignment="1">
      <alignment vertical="top" wrapText="1"/>
    </xf>
    <xf numFmtId="2" fontId="13" fillId="0" borderId="2" xfId="0" applyNumberFormat="1" applyFont="1" applyFill="1" applyBorder="1" applyAlignment="1">
      <alignment horizontal="center" vertical="center"/>
    </xf>
    <xf numFmtId="0" fontId="73" fillId="0" borderId="0" xfId="5" applyFont="1" applyAlignment="1">
      <alignment vertical="top" wrapText="1"/>
    </xf>
    <xf numFmtId="0" fontId="73" fillId="0" borderId="0" xfId="5" applyFont="1" applyAlignment="1">
      <alignment horizontal="center" vertical="center" wrapText="1"/>
    </xf>
    <xf numFmtId="0" fontId="73" fillId="0" borderId="2" xfId="5" applyFont="1" applyBorder="1" applyAlignment="1">
      <alignment vertical="top" wrapText="1"/>
    </xf>
    <xf numFmtId="0" fontId="73" fillId="0" borderId="2" xfId="5" applyFont="1" applyBorder="1" applyAlignment="1">
      <alignment horizontal="center" vertical="top" wrapText="1"/>
    </xf>
    <xf numFmtId="0" fontId="73" fillId="0" borderId="2" xfId="5" applyFont="1" applyBorder="1" applyAlignment="1">
      <alignment horizontal="center" vertical="top" wrapText="1"/>
    </xf>
    <xf numFmtId="0" fontId="74" fillId="0" borderId="2" xfId="5" applyFont="1" applyBorder="1" applyAlignment="1">
      <alignment horizontal="center" vertical="center" wrapText="1"/>
    </xf>
    <xf numFmtId="0" fontId="74" fillId="0" borderId="2" xfId="5" applyFont="1" applyBorder="1" applyAlignment="1">
      <alignment vertical="top" wrapText="1"/>
    </xf>
    <xf numFmtId="0" fontId="73" fillId="0" borderId="0" xfId="6" applyFont="1"/>
    <xf numFmtId="0" fontId="73" fillId="17" borderId="0" xfId="6" applyFont="1" applyFill="1"/>
    <xf numFmtId="0" fontId="73" fillId="17" borderId="0" xfId="6" applyFont="1" applyFill="1"/>
    <xf numFmtId="0" fontId="73" fillId="17" borderId="2" xfId="6" applyFont="1" applyFill="1" applyBorder="1"/>
    <xf numFmtId="0" fontId="73" fillId="17" borderId="2" xfId="6" applyFont="1" applyFill="1" applyBorder="1" applyAlignment="1">
      <alignment horizontal="center"/>
    </xf>
    <xf numFmtId="0" fontId="0" fillId="17" borderId="2" xfId="0" applyFill="1" applyBorder="1" applyAlignment="1"/>
    <xf numFmtId="0" fontId="73" fillId="17" borderId="2" xfId="6" applyFont="1" applyFill="1" applyBorder="1"/>
    <xf numFmtId="0" fontId="73" fillId="17" borderId="2" xfId="6" applyFont="1" applyFill="1" applyBorder="1" applyAlignment="1">
      <alignment horizontal="center"/>
    </xf>
    <xf numFmtId="0" fontId="74" fillId="17" borderId="2" xfId="5" applyFont="1" applyFill="1" applyBorder="1" applyAlignment="1">
      <alignment horizontal="center" vertical="center" wrapText="1"/>
    </xf>
    <xf numFmtId="0" fontId="73" fillId="17" borderId="2" xfId="5" applyFont="1" applyFill="1" applyBorder="1" applyAlignment="1">
      <alignment horizontal="center" vertical="center" wrapText="1"/>
    </xf>
    <xf numFmtId="0" fontId="73" fillId="17" borderId="2" xfId="5" applyFont="1" applyFill="1" applyBorder="1" applyAlignment="1">
      <alignment vertical="top" wrapText="1"/>
    </xf>
    <xf numFmtId="0" fontId="73" fillId="17" borderId="2" xfId="5" applyFont="1" applyFill="1" applyBorder="1" applyAlignment="1">
      <alignment vertical="top" wrapText="1"/>
    </xf>
    <xf numFmtId="0" fontId="74" fillId="17" borderId="2" xfId="6" applyFont="1" applyFill="1" applyBorder="1"/>
    <xf numFmtId="0" fontId="74" fillId="17" borderId="2" xfId="6" applyFont="1" applyFill="1" applyBorder="1" applyAlignment="1">
      <alignment horizontal="center"/>
    </xf>
    <xf numFmtId="0" fontId="73" fillId="17" borderId="56" xfId="6" applyFont="1" applyFill="1" applyBorder="1" applyAlignment="1">
      <alignment horizontal="center"/>
    </xf>
    <xf numFmtId="0" fontId="73" fillId="17" borderId="20" xfId="6" applyFont="1" applyFill="1" applyBorder="1" applyAlignment="1">
      <alignment horizontal="center"/>
    </xf>
    <xf numFmtId="0" fontId="73" fillId="17" borderId="2" xfId="6" applyFont="1" applyFill="1" applyBorder="1" applyAlignment="1">
      <alignment horizontal="center"/>
    </xf>
    <xf numFmtId="0" fontId="42" fillId="0" borderId="56" xfId="6" applyFont="1" applyBorder="1" applyAlignment="1">
      <alignment horizontal="center" vertical="center" wrapText="1"/>
    </xf>
    <xf numFmtId="0" fontId="42" fillId="0" borderId="51" xfId="6" applyFont="1" applyBorder="1" applyAlignment="1">
      <alignment horizontal="center" vertical="center" wrapText="1"/>
    </xf>
    <xf numFmtId="0" fontId="42" fillId="0" borderId="20" xfId="6" applyFont="1" applyBorder="1" applyAlignment="1">
      <alignment horizontal="center" vertical="center" wrapText="1"/>
    </xf>
    <xf numFmtId="0" fontId="73" fillId="0" borderId="2" xfId="6" applyFont="1" applyBorder="1" applyAlignment="1">
      <alignment horizontal="center" vertical="top" wrapText="1"/>
    </xf>
    <xf numFmtId="0" fontId="0" fillId="0" borderId="5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3" fillId="17" borderId="2" xfId="6" applyFont="1" applyFill="1" applyBorder="1"/>
    <xf numFmtId="0" fontId="73" fillId="17" borderId="2" xfId="6" applyFont="1" applyFill="1" applyBorder="1" applyAlignment="1">
      <alignment horizontal="center" vertical="center"/>
    </xf>
    <xf numFmtId="2" fontId="73" fillId="0" borderId="0" xfId="5" applyNumberFormat="1" applyFont="1" applyAlignment="1">
      <alignment vertical="top" wrapText="1"/>
    </xf>
    <xf numFmtId="0" fontId="73" fillId="12" borderId="0" xfId="5" applyFont="1" applyFill="1" applyAlignment="1">
      <alignment vertical="top" wrapText="1"/>
    </xf>
    <xf numFmtId="2" fontId="73" fillId="0" borderId="0" xfId="5" applyNumberFormat="1" applyFont="1" applyBorder="1" applyAlignment="1">
      <alignment horizontal="center" vertical="center"/>
    </xf>
    <xf numFmtId="2" fontId="74" fillId="18" borderId="0" xfId="5" applyNumberFormat="1" applyFont="1" applyFill="1" applyAlignment="1">
      <alignment vertical="top" wrapText="1"/>
    </xf>
    <xf numFmtId="2" fontId="74" fillId="18" borderId="0" xfId="5" applyNumberFormat="1" applyFont="1" applyFill="1" applyBorder="1" applyAlignment="1">
      <alignment horizontal="center" vertical="center"/>
    </xf>
    <xf numFmtId="0" fontId="73" fillId="0" borderId="0" xfId="5" applyFont="1" applyAlignment="1">
      <alignment vertical="top" wrapText="1"/>
    </xf>
    <xf numFmtId="0" fontId="73" fillId="0" borderId="0" xfId="5" applyFont="1" applyBorder="1" applyAlignment="1">
      <alignment horizontal="center" vertical="center"/>
    </xf>
    <xf numFmtId="0" fontId="73" fillId="0" borderId="0" xfId="6" applyFont="1"/>
    <xf numFmtId="0" fontId="74" fillId="1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3" fillId="17" borderId="0" xfId="6" applyFont="1" applyFill="1" applyBorder="1"/>
    <xf numFmtId="0" fontId="73" fillId="17" borderId="0" xfId="6" applyFont="1" applyFill="1" applyBorder="1" applyAlignment="1">
      <alignment horizontal="center"/>
    </xf>
    <xf numFmtId="0" fontId="74" fillId="17" borderId="0" xfId="6" applyFont="1" applyFill="1" applyBorder="1" applyAlignment="1">
      <alignment horizontal="center"/>
    </xf>
    <xf numFmtId="0" fontId="73" fillId="17" borderId="0" xfId="6" applyFont="1" applyFill="1" applyBorder="1" applyAlignment="1">
      <alignment horizontal="center" vertical="center"/>
    </xf>
    <xf numFmtId="0" fontId="74" fillId="17" borderId="0" xfId="5" applyFont="1" applyFill="1" applyBorder="1" applyAlignment="1">
      <alignment horizontal="center" vertical="center" wrapText="1"/>
    </xf>
    <xf numFmtId="0" fontId="73" fillId="17" borderId="0" xfId="5" applyFont="1" applyFill="1" applyBorder="1" applyAlignment="1">
      <alignment vertical="top" wrapText="1"/>
    </xf>
    <xf numFmtId="2" fontId="114" fillId="0" borderId="2" xfId="5" applyNumberFormat="1" applyFont="1" applyBorder="1" applyAlignment="1">
      <alignment horizontal="center" vertical="center" wrapText="1"/>
    </xf>
    <xf numFmtId="2" fontId="73" fillId="0" borderId="2" xfId="5" applyNumberFormat="1" applyFont="1" applyBorder="1" applyAlignment="1">
      <alignment horizontal="center" vertical="center" wrapText="1"/>
    </xf>
    <xf numFmtId="2" fontId="73" fillId="0" borderId="2" xfId="5" applyNumberFormat="1" applyFont="1" applyBorder="1" applyAlignment="1">
      <alignment vertical="top" wrapText="1"/>
    </xf>
    <xf numFmtId="0" fontId="73" fillId="17" borderId="2" xfId="6" applyFont="1" applyFill="1" applyBorder="1" applyAlignment="1">
      <alignment horizontal="center" vertical="top" wrapText="1"/>
    </xf>
    <xf numFmtId="0" fontId="41" fillId="17" borderId="2" xfId="6" applyFont="1" applyFill="1" applyBorder="1" applyAlignment="1">
      <alignment vertical="top"/>
    </xf>
    <xf numFmtId="0" fontId="41" fillId="17" borderId="2" xfId="6" applyFont="1" applyFill="1" applyBorder="1" applyAlignment="1">
      <alignment vertical="top" wrapText="1"/>
    </xf>
    <xf numFmtId="0" fontId="41" fillId="17" borderId="2" xfId="6" applyFont="1" applyFill="1" applyBorder="1" applyAlignment="1">
      <alignment horizontal="center" vertical="top" wrapText="1"/>
    </xf>
    <xf numFmtId="0" fontId="44" fillId="17" borderId="2" xfId="6" applyFont="1" applyFill="1" applyBorder="1" applyAlignment="1">
      <alignment vertical="top" wrapText="1"/>
    </xf>
    <xf numFmtId="0" fontId="44" fillId="17" borderId="2" xfId="6" applyFont="1" applyFill="1" applyBorder="1" applyAlignment="1">
      <alignment horizontal="center" vertical="top" wrapText="1"/>
    </xf>
    <xf numFmtId="0" fontId="73" fillId="0" borderId="0" xfId="9" applyFont="1" applyBorder="1" applyAlignment="1">
      <alignment vertical="center"/>
    </xf>
    <xf numFmtId="0" fontId="42" fillId="0" borderId="0" xfId="11" applyFont="1" applyBorder="1" applyAlignment="1">
      <alignment horizontal="center" vertical="top" wrapText="1"/>
    </xf>
    <xf numFmtId="0" fontId="95" fillId="10" borderId="2" xfId="0" applyFont="1" applyFill="1" applyBorder="1" applyAlignment="1">
      <alignment horizontal="center"/>
    </xf>
    <xf numFmtId="0" fontId="42" fillId="0" borderId="0" xfId="11" applyFont="1" applyBorder="1" applyAlignment="1">
      <alignment vertical="top" wrapText="1"/>
    </xf>
    <xf numFmtId="2" fontId="42" fillId="0" borderId="0" xfId="11" applyNumberFormat="1" applyFont="1" applyBorder="1" applyAlignment="1">
      <alignment vertical="top" wrapText="1"/>
    </xf>
    <xf numFmtId="0" fontId="42" fillId="16" borderId="0" xfId="11" applyFont="1" applyFill="1" applyBorder="1" applyAlignment="1">
      <alignment horizontal="center" vertical="top" wrapText="1"/>
    </xf>
    <xf numFmtId="0" fontId="42" fillId="16" borderId="0" xfId="11" applyFont="1" applyFill="1" applyBorder="1" applyAlignment="1">
      <alignment vertical="top" wrapText="1"/>
    </xf>
    <xf numFmtId="0" fontId="73" fillId="19" borderId="2" xfId="9" applyFont="1" applyFill="1" applyBorder="1" applyAlignment="1">
      <alignment horizontal="left"/>
    </xf>
    <xf numFmtId="0" fontId="73" fillId="0" borderId="0" xfId="9" applyFont="1" applyBorder="1"/>
    <xf numFmtId="0" fontId="73" fillId="0" borderId="0" xfId="9" applyFont="1" applyBorder="1" applyAlignment="1">
      <alignment horizontal="center"/>
    </xf>
    <xf numFmtId="0" fontId="73" fillId="0" borderId="0" xfId="9" applyFont="1" applyBorder="1" applyAlignment="1">
      <alignment horizontal="left"/>
    </xf>
    <xf numFmtId="0" fontId="73" fillId="0" borderId="2" xfId="9" applyFont="1" applyBorder="1"/>
    <xf numFmtId="1" fontId="73" fillId="0" borderId="2" xfId="9" applyNumberFormat="1" applyFont="1" applyBorder="1" applyAlignment="1">
      <alignment horizontal="center"/>
    </xf>
    <xf numFmtId="0" fontId="73" fillId="19" borderId="0" xfId="9" applyFont="1" applyFill="1" applyBorder="1"/>
    <xf numFmtId="2" fontId="96" fillId="0" borderId="2" xfId="5" applyNumberFormat="1" applyFont="1" applyFill="1" applyBorder="1" applyAlignment="1">
      <alignment horizontal="right" vertical="center" wrapText="1"/>
    </xf>
    <xf numFmtId="2" fontId="20" fillId="0" borderId="2" xfId="6" applyNumberFormat="1" applyFont="1" applyFill="1" applyBorder="1" applyAlignment="1">
      <alignment horizontal="right" vertical="center" wrapText="1"/>
    </xf>
    <xf numFmtId="2" fontId="96" fillId="0" borderId="2" xfId="5" applyNumberFormat="1" applyFont="1" applyFill="1" applyBorder="1" applyAlignment="1">
      <alignment horizontal="right" vertical="center"/>
    </xf>
    <xf numFmtId="2" fontId="96" fillId="0" borderId="2" xfId="6" applyNumberFormat="1" applyFont="1" applyFill="1" applyBorder="1" applyAlignment="1">
      <alignment horizontal="right" vertical="center"/>
    </xf>
    <xf numFmtId="2" fontId="96" fillId="0" borderId="2" xfId="6" applyNumberFormat="1" applyFont="1" applyFill="1" applyBorder="1" applyAlignment="1">
      <alignment horizontal="right" vertical="center" wrapText="1"/>
    </xf>
    <xf numFmtId="2" fontId="21" fillId="0" borderId="2" xfId="6" applyNumberFormat="1" applyFont="1" applyFill="1" applyBorder="1" applyAlignment="1">
      <alignment horizontal="right" vertical="center" wrapText="1"/>
    </xf>
    <xf numFmtId="2" fontId="95" fillId="0" borderId="2" xfId="6" applyNumberFormat="1" applyFont="1" applyFill="1" applyBorder="1" applyAlignment="1">
      <alignment horizontal="right" vertical="center" wrapText="1"/>
    </xf>
    <xf numFmtId="0" fontId="96" fillId="0" borderId="0" xfId="6" applyFont="1"/>
    <xf numFmtId="2" fontId="96" fillId="0" borderId="0" xfId="6" applyNumberFormat="1" applyFont="1" applyFill="1"/>
    <xf numFmtId="2" fontId="96" fillId="0" borderId="2" xfId="6" applyNumberFormat="1" applyFont="1" applyFill="1" applyBorder="1"/>
    <xf numFmtId="0" fontId="96" fillId="19" borderId="0" xfId="6" applyFont="1" applyFill="1"/>
    <xf numFmtId="2" fontId="96" fillId="0" borderId="2" xfId="6" applyNumberFormat="1" applyFont="1" applyFill="1" applyBorder="1" applyAlignment="1">
      <alignment vertical="top" wrapText="1"/>
    </xf>
    <xf numFmtId="2" fontId="96" fillId="0" borderId="2" xfId="6" applyNumberFormat="1" applyFont="1" applyFill="1" applyBorder="1" applyAlignment="1">
      <alignment horizontal="center" vertical="top" wrapText="1"/>
    </xf>
    <xf numFmtId="2" fontId="21" fillId="0" borderId="2" xfId="6" applyNumberFormat="1" applyFont="1" applyFill="1" applyBorder="1" applyAlignment="1">
      <alignment horizontal="center" vertical="top" wrapText="1"/>
    </xf>
    <xf numFmtId="2" fontId="20" fillId="0" borderId="2" xfId="6" applyNumberFormat="1" applyFont="1" applyFill="1" applyBorder="1" applyAlignment="1">
      <alignment horizontal="left" vertical="top" wrapText="1"/>
    </xf>
    <xf numFmtId="0" fontId="21" fillId="0" borderId="2" xfId="6" applyFont="1" applyBorder="1" applyAlignment="1">
      <alignment horizontal="center" vertical="top" wrapText="1"/>
    </xf>
    <xf numFmtId="2" fontId="21" fillId="0" borderId="2" xfId="6" applyNumberFormat="1" applyFont="1" applyFill="1" applyBorder="1" applyAlignment="1">
      <alignment horizontal="left" vertical="top" wrapText="1"/>
    </xf>
    <xf numFmtId="0" fontId="21" fillId="0" borderId="0" xfId="6" applyFont="1" applyBorder="1" applyAlignment="1">
      <alignment horizontal="center" vertical="top" wrapText="1"/>
    </xf>
    <xf numFmtId="2" fontId="96" fillId="0" borderId="2" xfId="6" applyNumberFormat="1" applyFont="1" applyFill="1" applyBorder="1" applyAlignment="1">
      <alignment horizontal="center" vertical="center"/>
    </xf>
    <xf numFmtId="0" fontId="96" fillId="0" borderId="2" xfId="6" applyFont="1" applyBorder="1"/>
    <xf numFmtId="0" fontId="21" fillId="0" borderId="0" xfId="6" applyFont="1" applyBorder="1" applyAlignment="1">
      <alignment horizontal="left" vertical="top" wrapText="1"/>
    </xf>
    <xf numFmtId="0" fontId="21" fillId="0" borderId="0" xfId="6" applyFont="1" applyBorder="1" applyAlignment="1">
      <alignment horizontal="center" vertical="center" wrapText="1"/>
    </xf>
    <xf numFmtId="0" fontId="21" fillId="0" borderId="0" xfId="6" applyFont="1" applyBorder="1" applyAlignment="1">
      <alignment vertical="top" wrapText="1"/>
    </xf>
    <xf numFmtId="2" fontId="96" fillId="0" borderId="0" xfId="6" applyNumberFormat="1" applyFont="1"/>
    <xf numFmtId="0" fontId="95" fillId="10" borderId="0" xfId="0" applyFont="1" applyFill="1" applyBorder="1" applyAlignment="1">
      <alignment horizontal="center"/>
    </xf>
    <xf numFmtId="0" fontId="96" fillId="0" borderId="0" xfId="0" applyFont="1" applyBorder="1" applyAlignment="1">
      <alignment horizontal="center"/>
    </xf>
    <xf numFmtId="2" fontId="96" fillId="0" borderId="0" xfId="0" applyNumberFormat="1" applyFont="1" applyBorder="1" applyAlignment="1">
      <alignment horizontal="center"/>
    </xf>
    <xf numFmtId="0" fontId="96" fillId="0" borderId="56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2" fontId="96" fillId="0" borderId="0" xfId="0" applyNumberFormat="1" applyFont="1" applyBorder="1" applyAlignment="1">
      <alignment horizontal="center" vertical="center"/>
    </xf>
    <xf numFmtId="0" fontId="96" fillId="0" borderId="0" xfId="0" applyFont="1" applyAlignment="1"/>
    <xf numFmtId="0" fontId="96" fillId="17" borderId="0" xfId="6" applyFont="1" applyFill="1"/>
    <xf numFmtId="0" fontId="96" fillId="17" borderId="2" xfId="6" applyFont="1" applyFill="1" applyBorder="1"/>
    <xf numFmtId="0" fontId="96" fillId="17" borderId="0" xfId="6" applyFont="1" applyFill="1" applyBorder="1"/>
    <xf numFmtId="0" fontId="96" fillId="17" borderId="2" xfId="6" applyFont="1" applyFill="1" applyBorder="1" applyAlignment="1">
      <alignment horizontal="center"/>
    </xf>
    <xf numFmtId="0" fontId="96" fillId="17" borderId="2" xfId="0" applyFont="1" applyFill="1" applyBorder="1" applyAlignment="1"/>
    <xf numFmtId="0" fontId="96" fillId="17" borderId="56" xfId="6" applyFont="1" applyFill="1" applyBorder="1" applyAlignment="1">
      <alignment horizontal="center"/>
    </xf>
    <xf numFmtId="0" fontId="96" fillId="17" borderId="0" xfId="6" applyFont="1" applyFill="1" applyBorder="1" applyAlignment="1">
      <alignment horizontal="center"/>
    </xf>
    <xf numFmtId="0" fontId="96" fillId="17" borderId="20" xfId="6" applyFont="1" applyFill="1" applyBorder="1" applyAlignment="1">
      <alignment horizontal="center"/>
    </xf>
    <xf numFmtId="0" fontId="95" fillId="17" borderId="2" xfId="6" applyFont="1" applyFill="1" applyBorder="1"/>
    <xf numFmtId="0" fontId="95" fillId="17" borderId="2" xfId="6" applyFont="1" applyFill="1" applyBorder="1" applyAlignment="1">
      <alignment horizontal="center"/>
    </xf>
    <xf numFmtId="0" fontId="95" fillId="17" borderId="0" xfId="6" applyFont="1" applyFill="1" applyBorder="1" applyAlignment="1">
      <alignment horizontal="center"/>
    </xf>
    <xf numFmtId="0" fontId="96" fillId="17" borderId="2" xfId="6" applyFont="1" applyFill="1" applyBorder="1" applyAlignment="1">
      <alignment horizontal="center" vertical="center"/>
    </xf>
    <xf numFmtId="0" fontId="96" fillId="17" borderId="0" xfId="6" applyFont="1" applyFill="1" applyBorder="1" applyAlignment="1">
      <alignment horizontal="center" vertical="center"/>
    </xf>
    <xf numFmtId="0" fontId="72" fillId="0" borderId="2" xfId="6" applyFont="1" applyBorder="1" applyAlignment="1">
      <alignment horizontal="center"/>
    </xf>
    <xf numFmtId="0" fontId="95" fillId="0" borderId="2" xfId="5" applyFont="1" applyBorder="1" applyAlignment="1">
      <alignment vertical="top" wrapText="1"/>
    </xf>
    <xf numFmtId="0" fontId="96" fillId="0" borderId="2" xfId="5" applyFont="1" applyBorder="1" applyAlignment="1">
      <alignment horizontal="center" vertical="center"/>
    </xf>
    <xf numFmtId="2" fontId="96" fillId="0" borderId="2" xfId="5" applyNumberFormat="1" applyFont="1" applyFill="1" applyBorder="1" applyAlignment="1">
      <alignment horizontal="center" vertical="center" wrapText="1"/>
    </xf>
    <xf numFmtId="2" fontId="96" fillId="0" borderId="2" xfId="5" applyNumberFormat="1" applyFont="1" applyFill="1" applyBorder="1" applyAlignment="1">
      <alignment horizontal="left" vertical="top" wrapText="1"/>
    </xf>
    <xf numFmtId="2" fontId="96" fillId="0" borderId="2" xfId="5" applyNumberFormat="1" applyFont="1" applyFill="1" applyBorder="1" applyAlignment="1">
      <alignment vertical="top" wrapText="1"/>
    </xf>
    <xf numFmtId="2" fontId="25" fillId="0" borderId="2" xfId="5" applyNumberFormat="1" applyFont="1" applyFill="1" applyBorder="1" applyAlignment="1">
      <alignment horizontal="left" vertical="top" wrapText="1"/>
    </xf>
    <xf numFmtId="2" fontId="96" fillId="0" borderId="2" xfId="5" quotePrefix="1" applyNumberFormat="1" applyFont="1" applyFill="1" applyBorder="1" applyAlignment="1">
      <alignment vertical="top" wrapText="1"/>
    </xf>
    <xf numFmtId="2" fontId="20" fillId="0" borderId="2" xfId="6" applyNumberFormat="1" applyFont="1" applyFill="1" applyBorder="1"/>
    <xf numFmtId="2" fontId="20" fillId="0" borderId="2" xfId="6" applyNumberFormat="1" applyFont="1" applyFill="1" applyBorder="1" applyAlignment="1">
      <alignment vertical="top" wrapText="1"/>
    </xf>
    <xf numFmtId="0" fontId="96" fillId="19" borderId="2" xfId="5" applyFont="1" applyFill="1" applyBorder="1" applyAlignment="1">
      <alignment horizontal="center" vertical="center"/>
    </xf>
    <xf numFmtId="2" fontId="20" fillId="0" borderId="2" xfId="6" applyNumberFormat="1" applyFont="1" applyFill="1" applyBorder="1" applyAlignment="1">
      <alignment horizontal="center" vertical="top" wrapText="1"/>
    </xf>
    <xf numFmtId="2" fontId="21" fillId="0" borderId="2" xfId="6" applyNumberFormat="1" applyFont="1" applyFill="1" applyBorder="1" applyAlignment="1">
      <alignment horizontal="left"/>
    </xf>
    <xf numFmtId="0" fontId="20" fillId="0" borderId="2" xfId="6" applyFont="1" applyBorder="1" applyAlignment="1">
      <alignment horizontal="left" vertical="top" wrapText="1"/>
    </xf>
    <xf numFmtId="2" fontId="20" fillId="0" borderId="2" xfId="6" applyNumberFormat="1" applyFont="1" applyFill="1" applyBorder="1" applyAlignment="1">
      <alignment horizontal="center" vertical="center" wrapText="1"/>
    </xf>
    <xf numFmtId="1" fontId="21" fillId="0" borderId="0" xfId="6" applyNumberFormat="1" applyFont="1" applyBorder="1" applyAlignment="1">
      <alignment horizontal="center" vertical="center" wrapText="1"/>
    </xf>
    <xf numFmtId="2" fontId="95" fillId="0" borderId="0" xfId="6" applyNumberFormat="1" applyFont="1" applyFill="1"/>
    <xf numFmtId="0" fontId="95" fillId="0" borderId="0" xfId="6" applyFont="1"/>
    <xf numFmtId="0" fontId="73" fillId="0" borderId="0" xfId="5" applyFont="1" applyAlignment="1">
      <alignment vertical="top" wrapText="1"/>
    </xf>
    <xf numFmtId="0" fontId="74" fillId="0" borderId="2" xfId="5" applyFont="1" applyBorder="1" applyAlignment="1">
      <alignment horizontal="center" vertical="top" wrapText="1"/>
    </xf>
    <xf numFmtId="2" fontId="74" fillId="0" borderId="2" xfId="5" applyNumberFormat="1" applyFont="1" applyBorder="1" applyAlignment="1">
      <alignment vertical="top" wrapText="1"/>
    </xf>
    <xf numFmtId="2" fontId="73" fillId="0" borderId="0" xfId="5" applyNumberFormat="1" applyFont="1"/>
    <xf numFmtId="0" fontId="96" fillId="0" borderId="2" xfId="9" applyFont="1" applyBorder="1" applyAlignment="1">
      <alignment horizontal="right" vertical="center" wrapText="1"/>
    </xf>
    <xf numFmtId="2" fontId="96" fillId="0" borderId="2" xfId="9" applyNumberFormat="1" applyFont="1" applyBorder="1" applyAlignment="1">
      <alignment horizontal="right" vertical="center" wrapText="1"/>
    </xf>
    <xf numFmtId="0" fontId="96" fillId="0" borderId="2" xfId="9" applyFont="1" applyBorder="1" applyAlignment="1">
      <alignment horizontal="right" vertical="center"/>
    </xf>
    <xf numFmtId="2" fontId="96" fillId="0" borderId="2" xfId="9" applyNumberFormat="1" applyFont="1" applyBorder="1" applyAlignment="1">
      <alignment horizontal="right" vertical="center"/>
    </xf>
    <xf numFmtId="2" fontId="96" fillId="19" borderId="2" xfId="9" applyNumberFormat="1" applyFont="1" applyFill="1" applyBorder="1" applyAlignment="1">
      <alignment horizontal="right" vertical="center" wrapText="1"/>
    </xf>
    <xf numFmtId="0" fontId="95" fillId="0" borderId="2" xfId="9" applyFont="1" applyBorder="1" applyAlignment="1">
      <alignment horizontal="center" vertical="top" wrapText="1"/>
    </xf>
    <xf numFmtId="0" fontId="95" fillId="0" borderId="2" xfId="9" applyFont="1" applyBorder="1" applyAlignment="1">
      <alignment vertical="top" wrapText="1"/>
    </xf>
    <xf numFmtId="0" fontId="95" fillId="0" borderId="2" xfId="9" applyFont="1" applyBorder="1" applyAlignment="1">
      <alignment horizontal="left" vertical="top" wrapText="1"/>
    </xf>
    <xf numFmtId="0" fontId="96" fillId="0" borderId="2" xfId="9" applyFont="1" applyBorder="1" applyAlignment="1">
      <alignment horizontal="center" vertical="top" wrapText="1"/>
    </xf>
    <xf numFmtId="0" fontId="96" fillId="0" borderId="2" xfId="0" applyFont="1" applyBorder="1" applyAlignment="1">
      <alignment horizontal="justify" vertical="top" wrapText="1"/>
    </xf>
    <xf numFmtId="0" fontId="95" fillId="0" borderId="2" xfId="9" applyFont="1" applyBorder="1" applyAlignment="1">
      <alignment horizontal="right" vertical="top" wrapText="1"/>
    </xf>
    <xf numFmtId="0" fontId="96" fillId="0" borderId="2" xfId="0" applyFont="1" applyBorder="1" applyAlignment="1">
      <alignment vertical="top" wrapText="1"/>
    </xf>
    <xf numFmtId="0" fontId="117" fillId="0" borderId="2" xfId="0" applyFont="1" applyBorder="1" applyAlignment="1">
      <alignment vertical="top" wrapText="1"/>
    </xf>
    <xf numFmtId="0" fontId="95" fillId="12" borderId="2" xfId="9" applyFont="1" applyFill="1" applyBorder="1" applyAlignment="1">
      <alignment horizontal="right" vertical="top" wrapText="1"/>
    </xf>
    <xf numFmtId="0" fontId="117" fillId="0" borderId="2" xfId="0" applyFont="1" applyBorder="1" applyAlignment="1">
      <alignment horizontal="justify" vertical="top" wrapText="1"/>
    </xf>
    <xf numFmtId="0" fontId="20" fillId="0" borderId="2" xfId="11" applyFont="1" applyBorder="1" applyAlignment="1">
      <alignment horizontal="left" vertical="top" wrapText="1" indent="1"/>
    </xf>
    <xf numFmtId="0" fontId="20" fillId="0" borderId="2" xfId="11" applyFont="1" applyBorder="1" applyAlignment="1">
      <alignment vertical="top" wrapText="1"/>
    </xf>
    <xf numFmtId="0" fontId="20" fillId="19" borderId="2" xfId="11" applyFont="1" applyFill="1" applyBorder="1" applyAlignment="1">
      <alignment horizontal="left" vertical="top" wrapText="1" indent="1"/>
    </xf>
    <xf numFmtId="0" fontId="20" fillId="19" borderId="2" xfId="11" applyFont="1" applyFill="1" applyBorder="1" applyAlignment="1">
      <alignment vertical="top" wrapText="1"/>
    </xf>
    <xf numFmtId="0" fontId="95" fillId="19" borderId="2" xfId="9" applyFont="1" applyFill="1" applyBorder="1" applyAlignment="1">
      <alignment horizontal="right" vertical="top" wrapText="1"/>
    </xf>
    <xf numFmtId="0" fontId="20" fillId="19" borderId="2" xfId="11" applyFont="1" applyFill="1" applyBorder="1" applyAlignment="1">
      <alignment horizontal="justify" vertical="top" wrapText="1"/>
    </xf>
    <xf numFmtId="2" fontId="96" fillId="19" borderId="2" xfId="9" applyNumberFormat="1" applyFont="1" applyFill="1" applyBorder="1" applyAlignment="1">
      <alignment horizontal="right" vertical="top" wrapText="1"/>
    </xf>
    <xf numFmtId="0" fontId="96" fillId="0" borderId="2" xfId="9" applyFont="1" applyBorder="1" applyAlignment="1">
      <alignment vertical="top" wrapText="1"/>
    </xf>
    <xf numFmtId="2" fontId="96" fillId="0" borderId="2" xfId="9" applyNumberFormat="1" applyFont="1" applyBorder="1" applyAlignment="1">
      <alignment horizontal="center" vertical="top" wrapText="1"/>
    </xf>
    <xf numFmtId="0" fontId="96" fillId="0" borderId="2" xfId="9" applyFont="1" applyBorder="1" applyAlignment="1">
      <alignment horizontal="left" vertical="top" wrapText="1"/>
    </xf>
    <xf numFmtId="0" fontId="96" fillId="12" borderId="2" xfId="9" applyFont="1" applyFill="1" applyBorder="1" applyAlignment="1">
      <alignment horizontal="left" vertical="top" wrapText="1"/>
    </xf>
    <xf numFmtId="0" fontId="95" fillId="12" borderId="2" xfId="9" applyFont="1" applyFill="1" applyBorder="1" applyAlignment="1">
      <alignment horizontal="left" vertical="top" wrapText="1"/>
    </xf>
    <xf numFmtId="0" fontId="95" fillId="0" borderId="0" xfId="9" applyFont="1" applyBorder="1" applyAlignment="1">
      <alignment horizontal="center"/>
    </xf>
    <xf numFmtId="0" fontId="95" fillId="19" borderId="2" xfId="9" applyFont="1" applyFill="1" applyBorder="1" applyAlignment="1">
      <alignment horizontal="center" vertical="top" wrapText="1"/>
    </xf>
    <xf numFmtId="0" fontId="95" fillId="19" borderId="2" xfId="9" applyFont="1" applyFill="1" applyBorder="1" applyAlignment="1">
      <alignment vertical="top" wrapText="1"/>
    </xf>
    <xf numFmtId="0" fontId="96" fillId="0" borderId="0" xfId="9" applyFont="1" applyBorder="1" applyAlignment="1">
      <alignment horizontal="center" vertical="top" wrapText="1"/>
    </xf>
    <xf numFmtId="0" fontId="96" fillId="0" borderId="0" xfId="9" applyFont="1" applyBorder="1" applyAlignment="1">
      <alignment vertical="top" wrapText="1"/>
    </xf>
    <xf numFmtId="0" fontId="74" fillId="0" borderId="0" xfId="9" applyFont="1" applyBorder="1"/>
    <xf numFmtId="0" fontId="38" fillId="0" borderId="2" xfId="11" applyFont="1" applyBorder="1" applyAlignment="1">
      <alignment vertical="top" wrapText="1"/>
    </xf>
    <xf numFmtId="2" fontId="95" fillId="0" borderId="2" xfId="9" applyNumberFormat="1" applyFont="1" applyBorder="1" applyAlignment="1">
      <alignment horizontal="right" vertical="top" wrapText="1"/>
    </xf>
    <xf numFmtId="0" fontId="95" fillId="0" borderId="56" xfId="9" applyFont="1" applyBorder="1" applyAlignment="1">
      <alignment horizontal="center" vertical="top" wrapText="1"/>
    </xf>
    <xf numFmtId="0" fontId="95" fillId="0" borderId="56" xfId="9" applyFont="1" applyBorder="1" applyAlignment="1">
      <alignment vertical="top" wrapText="1"/>
    </xf>
    <xf numFmtId="2" fontId="95" fillId="0" borderId="56" xfId="9" applyNumberFormat="1" applyFont="1" applyBorder="1" applyAlignment="1">
      <alignment horizontal="center" vertical="top" wrapText="1"/>
    </xf>
    <xf numFmtId="0" fontId="95" fillId="0" borderId="56" xfId="9" applyFont="1" applyBorder="1" applyAlignment="1">
      <alignment horizontal="left" vertical="top" wrapText="1"/>
    </xf>
    <xf numFmtId="2" fontId="95" fillId="19" borderId="2" xfId="9" applyNumberFormat="1" applyFont="1" applyFill="1" applyBorder="1" applyAlignment="1">
      <alignment horizontal="center" vertical="top" wrapText="1"/>
    </xf>
    <xf numFmtId="0" fontId="95" fillId="19" borderId="2" xfId="9" applyFont="1" applyFill="1" applyBorder="1" applyAlignment="1">
      <alignment horizontal="left" vertical="top" wrapText="1"/>
    </xf>
    <xf numFmtId="0" fontId="74" fillId="19" borderId="2" xfId="9" applyFont="1" applyFill="1" applyBorder="1"/>
    <xf numFmtId="0" fontId="95" fillId="0" borderId="2" xfId="9" applyFont="1" applyBorder="1" applyAlignment="1">
      <alignment horizontal="right" vertical="center" wrapText="1"/>
    </xf>
    <xf numFmtId="0" fontId="95" fillId="0" borderId="2" xfId="9" applyFont="1" applyBorder="1" applyAlignment="1">
      <alignment horizontal="center" vertical="center" wrapText="1"/>
    </xf>
    <xf numFmtId="0" fontId="74" fillId="0" borderId="0" xfId="5" applyFont="1" applyAlignment="1">
      <alignment vertical="top" wrapText="1"/>
    </xf>
    <xf numFmtId="0" fontId="74" fillId="0" borderId="0" xfId="5" applyFont="1"/>
    <xf numFmtId="2" fontId="74" fillId="0" borderId="0" xfId="5" applyNumberFormat="1" applyFont="1"/>
    <xf numFmtId="0" fontId="74" fillId="19" borderId="2" xfId="5" applyFont="1" applyFill="1" applyBorder="1" applyAlignment="1">
      <alignment horizontal="center" vertical="top" wrapText="1"/>
    </xf>
    <xf numFmtId="0" fontId="74" fillId="19" borderId="2" xfId="5" applyFont="1" applyFill="1" applyBorder="1" applyAlignment="1">
      <alignment vertical="top" wrapText="1"/>
    </xf>
    <xf numFmtId="2" fontId="74" fillId="19" borderId="2" xfId="5" applyNumberFormat="1" applyFont="1" applyFill="1" applyBorder="1" applyAlignment="1">
      <alignment vertical="top" wrapText="1"/>
    </xf>
    <xf numFmtId="0" fontId="96" fillId="0" borderId="2" xfId="5" applyFont="1" applyBorder="1" applyAlignment="1">
      <alignment vertical="top" wrapText="1"/>
    </xf>
    <xf numFmtId="2" fontId="96" fillId="0" borderId="2" xfId="5" applyNumberFormat="1" applyFont="1" applyBorder="1" applyAlignment="1">
      <alignment vertical="top" wrapText="1"/>
    </xf>
    <xf numFmtId="0" fontId="96" fillId="0" borderId="2" xfId="5" applyFont="1" applyBorder="1" applyAlignment="1">
      <alignment horizontal="center" vertical="top" wrapText="1"/>
    </xf>
    <xf numFmtId="0" fontId="95" fillId="11" borderId="2" xfId="5" applyFont="1" applyFill="1" applyBorder="1" applyAlignment="1">
      <alignment horizontal="center" vertical="top" wrapText="1"/>
    </xf>
    <xf numFmtId="0" fontId="95" fillId="11" borderId="2" xfId="5" applyFont="1" applyFill="1" applyBorder="1" applyAlignment="1">
      <alignment vertical="top" wrapText="1"/>
    </xf>
    <xf numFmtId="2" fontId="96" fillId="0" borderId="2" xfId="0" applyNumberFormat="1" applyFont="1" applyBorder="1" applyAlignment="1">
      <alignment horizontal="right"/>
    </xf>
    <xf numFmtId="2" fontId="13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2" fontId="6" fillId="0" borderId="36" xfId="0" applyNumberFormat="1" applyFont="1" applyBorder="1" applyAlignment="1"/>
    <xf numFmtId="1" fontId="96" fillId="0" borderId="2" xfId="0" applyNumberFormat="1" applyFont="1" applyBorder="1" applyAlignment="1">
      <alignment horizontal="center" vertical="center"/>
    </xf>
    <xf numFmtId="0" fontId="96" fillId="0" borderId="2" xfId="3" applyFont="1" applyBorder="1" applyAlignment="1">
      <alignment horizontal="center" vertical="center"/>
    </xf>
    <xf numFmtId="0" fontId="95" fillId="11" borderId="2" xfId="3" applyFont="1" applyFill="1" applyBorder="1" applyAlignment="1">
      <alignment horizontal="center" vertical="center"/>
    </xf>
    <xf numFmtId="0" fontId="95" fillId="11" borderId="2" xfId="3" applyFont="1" applyFill="1" applyBorder="1" applyAlignment="1">
      <alignment vertical="center" wrapText="1"/>
    </xf>
    <xf numFmtId="0" fontId="95" fillId="11" borderId="2" xfId="3" applyFont="1" applyFill="1" applyBorder="1" applyAlignment="1">
      <alignment horizontal="center" wrapText="1"/>
    </xf>
    <xf numFmtId="0" fontId="95" fillId="11" borderId="2" xfId="3" applyFont="1" applyFill="1" applyBorder="1" applyAlignment="1">
      <alignment horizontal="center" vertical="center" wrapText="1"/>
    </xf>
    <xf numFmtId="0" fontId="96" fillId="0" borderId="2" xfId="3" applyFont="1" applyBorder="1" applyAlignment="1">
      <alignment horizontal="left" vertical="center"/>
    </xf>
    <xf numFmtId="0" fontId="96" fillId="0" borderId="2" xfId="3" applyFont="1" applyBorder="1" applyAlignment="1">
      <alignment horizontal="left" vertical="center" wrapText="1"/>
    </xf>
    <xf numFmtId="2" fontId="96" fillId="0" borderId="2" xfId="3" applyNumberFormat="1" applyFont="1" applyBorder="1"/>
    <xf numFmtId="2" fontId="96" fillId="0" borderId="2" xfId="3" applyNumberFormat="1" applyFont="1" applyBorder="1" applyAlignment="1">
      <alignment vertical="center"/>
    </xf>
    <xf numFmtId="0" fontId="96" fillId="0" borderId="2" xfId="3" applyFont="1" applyBorder="1" applyAlignment="1">
      <alignment horizontal="center" vertical="center" wrapText="1"/>
    </xf>
    <xf numFmtId="2" fontId="96" fillId="0" borderId="2" xfId="3" applyNumberFormat="1" applyFont="1" applyBorder="1" applyAlignment="1">
      <alignment horizontal="right" vertical="center"/>
    </xf>
    <xf numFmtId="2" fontId="13" fillId="0" borderId="6" xfId="0" applyNumberFormat="1" applyFont="1" applyBorder="1" applyAlignment="1">
      <alignment horizontal="right" vertical="center"/>
    </xf>
    <xf numFmtId="0" fontId="7" fillId="1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7" fillId="10" borderId="6" xfId="0" applyFont="1" applyFill="1" applyBorder="1" applyAlignment="1">
      <alignment horizontal="center" vertical="center" wrapText="1"/>
    </xf>
    <xf numFmtId="0" fontId="95" fillId="10" borderId="2" xfId="0" applyFont="1" applyFill="1" applyBorder="1" applyAlignment="1">
      <alignment horizontal="center"/>
    </xf>
    <xf numFmtId="0" fontId="73" fillId="0" borderId="0" xfId="5" applyFont="1"/>
    <xf numFmtId="0" fontId="73" fillId="0" borderId="0" xfId="4" applyFont="1"/>
    <xf numFmtId="0" fontId="73" fillId="0" borderId="2" xfId="4" applyFont="1" applyBorder="1" applyAlignment="1">
      <alignment horizontal="center" vertical="top" wrapText="1"/>
    </xf>
    <xf numFmtId="0" fontId="73" fillId="0" borderId="2" xfId="4" applyFont="1" applyBorder="1" applyAlignment="1">
      <alignment vertical="top" wrapText="1"/>
    </xf>
    <xf numFmtId="1" fontId="73" fillId="0" borderId="2" xfId="4" applyNumberFormat="1" applyFont="1" applyBorder="1" applyAlignment="1">
      <alignment vertical="top" wrapText="1"/>
    </xf>
    <xf numFmtId="1" fontId="73" fillId="0" borderId="0" xfId="4" applyNumberFormat="1" applyFont="1"/>
    <xf numFmtId="166" fontId="73" fillId="0" borderId="0" xfId="4" applyNumberFormat="1" applyFont="1"/>
    <xf numFmtId="166" fontId="96" fillId="0" borderId="2" xfId="0" applyNumberFormat="1" applyFont="1" applyBorder="1" applyAlignment="1"/>
    <xf numFmtId="1" fontId="96" fillId="0" borderId="2" xfId="0" applyNumberFormat="1" applyFont="1" applyBorder="1" applyAlignment="1"/>
    <xf numFmtId="0" fontId="95" fillId="0" borderId="0" xfId="0" applyFont="1" applyAlignment="1"/>
    <xf numFmtId="1" fontId="96" fillId="0" borderId="0" xfId="0" applyNumberFormat="1" applyFont="1" applyAlignment="1"/>
    <xf numFmtId="0" fontId="95" fillId="10" borderId="56" xfId="0" applyFont="1" applyFill="1" applyBorder="1" applyAlignment="1"/>
    <xf numFmtId="0" fontId="95" fillId="10" borderId="12" xfId="0" applyFont="1" applyFill="1" applyBorder="1" applyAlignment="1"/>
    <xf numFmtId="0" fontId="95" fillId="10" borderId="3" xfId="0" applyFont="1" applyFill="1" applyBorder="1" applyAlignment="1"/>
    <xf numFmtId="0" fontId="95" fillId="10" borderId="18" xfId="0" applyFont="1" applyFill="1" applyBorder="1" applyAlignment="1"/>
    <xf numFmtId="0" fontId="96" fillId="0" borderId="13" xfId="0" applyFont="1" applyBorder="1" applyAlignment="1"/>
    <xf numFmtId="166" fontId="96" fillId="0" borderId="6" xfId="0" applyNumberFormat="1" applyFont="1" applyBorder="1" applyAlignment="1"/>
    <xf numFmtId="0" fontId="96" fillId="0" borderId="6" xfId="0" applyFont="1" applyBorder="1" applyAlignment="1"/>
    <xf numFmtId="0" fontId="95" fillId="10" borderId="13" xfId="0" applyFont="1" applyFill="1" applyBorder="1" applyAlignment="1"/>
    <xf numFmtId="0" fontId="95" fillId="10" borderId="6" xfId="0" applyFont="1" applyFill="1" applyBorder="1" applyAlignment="1"/>
    <xf numFmtId="1" fontId="96" fillId="0" borderId="6" xfId="0" applyNumberFormat="1" applyFont="1" applyBorder="1" applyAlignment="1"/>
    <xf numFmtId="2" fontId="96" fillId="0" borderId="6" xfId="0" applyNumberFormat="1" applyFont="1" applyBorder="1" applyAlignment="1"/>
    <xf numFmtId="0" fontId="95" fillId="0" borderId="16" xfId="0" applyFont="1" applyBorder="1" applyAlignment="1"/>
    <xf numFmtId="2" fontId="95" fillId="0" borderId="17" xfId="0" applyNumberFormat="1" applyFont="1" applyBorder="1" applyAlignment="1"/>
    <xf numFmtId="2" fontId="95" fillId="0" borderId="19" xfId="0" applyNumberFormat="1" applyFont="1" applyBorder="1" applyAlignment="1"/>
    <xf numFmtId="0" fontId="6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2" fontId="7" fillId="0" borderId="2" xfId="0" applyNumberFormat="1" applyFont="1" applyBorder="1" applyAlignment="1">
      <alignment horizontal="right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6" fillId="0" borderId="24" xfId="0" applyNumberFormat="1" applyFont="1" applyBorder="1" applyAlignment="1"/>
    <xf numFmtId="2" fontId="13" fillId="0" borderId="24" xfId="0" applyNumberFormat="1" applyFont="1" applyBorder="1" applyAlignment="1"/>
    <xf numFmtId="0" fontId="95" fillId="11" borderId="0" xfId="5" applyFont="1" applyFill="1" applyBorder="1" applyAlignment="1">
      <alignment horizontal="center" vertical="top" wrapText="1"/>
    </xf>
    <xf numFmtId="0" fontId="6" fillId="0" borderId="24" xfId="0" applyFont="1" applyBorder="1" applyAlignment="1"/>
    <xf numFmtId="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2" fontId="8" fillId="0" borderId="2" xfId="0" applyNumberFormat="1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right" vertical="center" wrapText="1"/>
    </xf>
    <xf numFmtId="0" fontId="7" fillId="10" borderId="6" xfId="0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/>
    </xf>
    <xf numFmtId="2" fontId="7" fillId="0" borderId="17" xfId="0" applyNumberFormat="1" applyFont="1" applyFill="1" applyBorder="1" applyAlignment="1">
      <alignment horizontal="right" vertical="center" wrapText="1"/>
    </xf>
    <xf numFmtId="2" fontId="7" fillId="0" borderId="6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right" vertical="center"/>
    </xf>
    <xf numFmtId="10" fontId="8" fillId="0" borderId="2" xfId="13" applyNumberFormat="1" applyFont="1" applyFill="1" applyBorder="1" applyAlignment="1">
      <alignment horizontal="right" vertical="center"/>
    </xf>
    <xf numFmtId="0" fontId="7" fillId="10" borderId="13" xfId="0" applyFont="1" applyFill="1" applyBorder="1" applyAlignment="1">
      <alignment horizontal="right" vertical="center" wrapText="1"/>
    </xf>
    <xf numFmtId="2" fontId="6" fillId="0" borderId="17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7" fillId="10" borderId="33" xfId="0" applyFont="1" applyFill="1" applyBorder="1" applyAlignment="1">
      <alignment horizontal="right" vertical="center" wrapText="1"/>
    </xf>
    <xf numFmtId="39" fontId="13" fillId="0" borderId="2" xfId="0" applyNumberFormat="1" applyFont="1" applyBorder="1" applyAlignment="1">
      <alignment horizontal="right" vertical="center"/>
    </xf>
    <xf numFmtId="39" fontId="7" fillId="0" borderId="17" xfId="0" applyNumberFormat="1" applyFont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8" fillId="0" borderId="33" xfId="0" applyFont="1" applyFill="1" applyBorder="1" applyAlignment="1">
      <alignment horizontal="left" vertical="center" wrapText="1"/>
    </xf>
    <xf numFmtId="2" fontId="7" fillId="0" borderId="33" xfId="0" applyNumberFormat="1" applyFont="1" applyFill="1" applyBorder="1" applyAlignment="1">
      <alignment horizontal="right" vertical="center" wrapText="1"/>
    </xf>
    <xf numFmtId="2" fontId="8" fillId="0" borderId="2" xfId="13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73" fillId="0" borderId="2" xfId="5" applyFont="1" applyBorder="1" applyAlignment="1">
      <alignment vertical="top" wrapText="1"/>
    </xf>
    <xf numFmtId="0" fontId="7" fillId="10" borderId="2" xfId="0" applyFont="1" applyFill="1" applyBorder="1" applyAlignment="1">
      <alignment horizontal="center" vertical="center"/>
    </xf>
    <xf numFmtId="2" fontId="6" fillId="0" borderId="19" xfId="0" applyNumberFormat="1" applyFont="1" applyBorder="1" applyAlignment="1"/>
    <xf numFmtId="17" fontId="96" fillId="0" borderId="0" xfId="0" applyNumberFormat="1" applyFont="1" applyAlignment="1"/>
    <xf numFmtId="166" fontId="96" fillId="0" borderId="0" xfId="0" applyNumberFormat="1" applyFont="1" applyAlignment="1"/>
    <xf numFmtId="0" fontId="96" fillId="0" borderId="38" xfId="0" applyFont="1" applyBorder="1" applyAlignment="1"/>
    <xf numFmtId="166" fontId="96" fillId="0" borderId="20" xfId="0" applyNumberFormat="1" applyFont="1" applyBorder="1" applyAlignment="1"/>
    <xf numFmtId="166" fontId="96" fillId="0" borderId="39" xfId="0" applyNumberFormat="1" applyFont="1" applyBorder="1" applyAlignment="1"/>
    <xf numFmtId="0" fontId="96" fillId="0" borderId="16" xfId="0" applyFont="1" applyBorder="1" applyAlignment="1"/>
    <xf numFmtId="166" fontId="96" fillId="0" borderId="17" xfId="0" applyNumberFormat="1" applyFont="1" applyBorder="1" applyAlignment="1"/>
    <xf numFmtId="166" fontId="96" fillId="0" borderId="19" xfId="0" applyNumberFormat="1" applyFont="1" applyBorder="1" applyAlignment="1"/>
    <xf numFmtId="0" fontId="74" fillId="0" borderId="0" xfId="0" applyFont="1" applyAlignment="1">
      <alignment horizontal="right"/>
    </xf>
    <xf numFmtId="0" fontId="118" fillId="0" borderId="0" xfId="0" applyFont="1" applyAlignment="1"/>
    <xf numFmtId="0" fontId="119" fillId="10" borderId="2" xfId="0" applyFont="1" applyFill="1" applyBorder="1" applyAlignment="1">
      <alignment horizontal="center" vertical="center" wrapText="1"/>
    </xf>
    <xf numFmtId="0" fontId="120" fillId="0" borderId="0" xfId="0" applyFont="1" applyAlignment="1">
      <alignment horizontal="center" vertical="center" wrapText="1"/>
    </xf>
    <xf numFmtId="0" fontId="121" fillId="0" borderId="2" xfId="0" applyFont="1" applyBorder="1" applyAlignment="1">
      <alignment horizontal="center"/>
    </xf>
    <xf numFmtId="0" fontId="121" fillId="0" borderId="2" xfId="0" applyFont="1" applyBorder="1" applyAlignment="1"/>
    <xf numFmtId="2" fontId="121" fillId="0" borderId="2" xfId="0" applyNumberFormat="1" applyFont="1" applyBorder="1" applyAlignment="1">
      <alignment horizontal="center"/>
    </xf>
    <xf numFmtId="0" fontId="119" fillId="0" borderId="2" xfId="0" applyFont="1" applyBorder="1" applyAlignment="1"/>
    <xf numFmtId="0" fontId="119" fillId="0" borderId="2" xfId="0" applyFont="1" applyBorder="1" applyAlignment="1">
      <alignment horizontal="center"/>
    </xf>
    <xf numFmtId="2" fontId="119" fillId="0" borderId="2" xfId="0" applyNumberFormat="1" applyFont="1" applyBorder="1" applyAlignment="1">
      <alignment horizontal="center"/>
    </xf>
    <xf numFmtId="0" fontId="0" fillId="0" borderId="0" xfId="16" applyFont="1"/>
    <xf numFmtId="0" fontId="125" fillId="0" borderId="75" xfId="16" applyFont="1" applyBorder="1" applyAlignment="1">
      <alignment horizontal="right"/>
    </xf>
    <xf numFmtId="0" fontId="125" fillId="0" borderId="75" xfId="16" applyFont="1" applyBorder="1" applyAlignment="1">
      <alignment horizontal="center" wrapText="1"/>
    </xf>
    <xf numFmtId="0" fontId="125" fillId="0" borderId="75" xfId="16" applyFont="1" applyBorder="1" applyAlignment="1">
      <alignment wrapText="1"/>
    </xf>
    <xf numFmtId="0" fontId="125" fillId="0" borderId="31" xfId="16" applyFont="1" applyBorder="1" applyAlignment="1">
      <alignment horizontal="center"/>
    </xf>
    <xf numFmtId="0" fontId="125" fillId="0" borderId="75" xfId="16" applyFont="1" applyBorder="1" applyAlignment="1">
      <alignment horizontal="center"/>
    </xf>
    <xf numFmtId="0" fontId="125" fillId="0" borderId="75" xfId="16" applyFont="1" applyBorder="1"/>
    <xf numFmtId="0" fontId="124" fillId="22" borderId="74" xfId="16" applyFont="1" applyFill="1" applyBorder="1" applyAlignment="1">
      <alignment horizontal="center" wrapText="1"/>
    </xf>
    <xf numFmtId="0" fontId="124" fillId="22" borderId="74" xfId="16" applyFont="1" applyFill="1" applyBorder="1" applyAlignment="1">
      <alignment wrapText="1"/>
    </xf>
    <xf numFmtId="0" fontId="124" fillId="22" borderId="81" xfId="16" applyFont="1" applyFill="1" applyBorder="1" applyAlignment="1">
      <alignment horizontal="center"/>
    </xf>
    <xf numFmtId="0" fontId="124" fillId="0" borderId="75" xfId="16" applyFont="1" applyBorder="1" applyAlignment="1">
      <alignment wrapText="1"/>
    </xf>
    <xf numFmtId="0" fontId="124" fillId="0" borderId="31" xfId="16" applyFont="1" applyBorder="1" applyAlignment="1">
      <alignment horizontal="center"/>
    </xf>
    <xf numFmtId="0" fontId="95" fillId="21" borderId="75" xfId="16" applyFont="1" applyFill="1" applyBorder="1" applyAlignment="1">
      <alignment horizontal="center" wrapText="1"/>
    </xf>
    <xf numFmtId="2" fontId="125" fillId="0" borderId="75" xfId="16" applyNumberFormat="1" applyFont="1" applyBorder="1" applyAlignment="1">
      <alignment horizontal="right"/>
    </xf>
    <xf numFmtId="2" fontId="125" fillId="0" borderId="75" xfId="16" applyNumberFormat="1" applyFont="1" applyBorder="1" applyAlignment="1">
      <alignment horizontal="right" wrapText="1"/>
    </xf>
    <xf numFmtId="2" fontId="124" fillId="0" borderId="75" xfId="16" applyNumberFormat="1" applyFont="1" applyBorder="1" applyAlignment="1">
      <alignment horizontal="right"/>
    </xf>
    <xf numFmtId="2" fontId="125" fillId="0" borderId="75" xfId="16" applyNumberFormat="1" applyFont="1" applyBorder="1"/>
    <xf numFmtId="2" fontId="124" fillId="0" borderId="75" xfId="16" applyNumberFormat="1" applyFont="1" applyBorder="1"/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95" fillId="10" borderId="2" xfId="0" applyFont="1" applyFill="1" applyBorder="1" applyAlignment="1">
      <alignment horizontal="center"/>
    </xf>
    <xf numFmtId="0" fontId="74" fillId="0" borderId="3" xfId="0" applyFont="1" applyBorder="1" applyAlignment="1"/>
    <xf numFmtId="4" fontId="0" fillId="0" borderId="2" xfId="0" applyNumberFormat="1" applyBorder="1" applyAlignment="1"/>
    <xf numFmtId="4" fontId="0" fillId="0" borderId="6" xfId="0" applyNumberFormat="1" applyBorder="1" applyAlignment="1"/>
    <xf numFmtId="10" fontId="0" fillId="0" borderId="2" xfId="0" applyNumberFormat="1" applyBorder="1" applyAlignment="1"/>
    <xf numFmtId="10" fontId="0" fillId="0" borderId="6" xfId="0" applyNumberFormat="1" applyBorder="1" applyAlignment="1"/>
    <xf numFmtId="2" fontId="0" fillId="0" borderId="2" xfId="0" applyNumberFormat="1" applyBorder="1" applyAlignment="1"/>
    <xf numFmtId="2" fontId="0" fillId="0" borderId="6" xfId="0" applyNumberFormat="1" applyBorder="1" applyAlignment="1"/>
    <xf numFmtId="10" fontId="0" fillId="0" borderId="17" xfId="0" applyNumberFormat="1" applyBorder="1" applyAlignment="1"/>
    <xf numFmtId="10" fontId="0" fillId="0" borderId="19" xfId="0" applyNumberFormat="1" applyBorder="1" applyAlignment="1"/>
    <xf numFmtId="2" fontId="13" fillId="0" borderId="0" xfId="0" applyNumberFormat="1" applyFont="1" applyAlignment="1"/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/>
    </xf>
    <xf numFmtId="1" fontId="13" fillId="0" borderId="0" xfId="13" applyNumberFormat="1" applyFont="1" applyAlignment="1"/>
    <xf numFmtId="9" fontId="13" fillId="0" borderId="0" xfId="13" applyFont="1" applyAlignment="1"/>
    <xf numFmtId="9" fontId="13" fillId="0" borderId="2" xfId="0" applyNumberFormat="1" applyFont="1" applyBorder="1" applyAlignment="1">
      <alignment horizontal="center"/>
    </xf>
    <xf numFmtId="2" fontId="13" fillId="0" borderId="2" xfId="0" applyNumberFormat="1" applyFont="1" applyFill="1" applyBorder="1" applyAlignment="1"/>
    <xf numFmtId="1" fontId="6" fillId="0" borderId="0" xfId="0" applyNumberFormat="1" applyFont="1" applyAlignment="1"/>
    <xf numFmtId="1" fontId="13" fillId="0" borderId="0" xfId="0" applyNumberFormat="1" applyFont="1" applyAlignment="1"/>
    <xf numFmtId="0" fontId="6" fillId="0" borderId="23" xfId="0" applyFont="1" applyBorder="1" applyAlignment="1"/>
    <xf numFmtId="0" fontId="126" fillId="0" borderId="0" xfId="0" applyFont="1" applyAlignment="1"/>
    <xf numFmtId="0" fontId="0" fillId="23" borderId="0" xfId="0" applyFill="1" applyAlignment="1"/>
    <xf numFmtId="0" fontId="74" fillId="23" borderId="0" xfId="0" applyFont="1" applyFill="1" applyAlignment="1">
      <alignment horizontal="right"/>
    </xf>
    <xf numFmtId="9" fontId="0" fillId="23" borderId="0" xfId="0" applyNumberFormat="1" applyFill="1" applyAlignment="1"/>
    <xf numFmtId="0" fontId="119" fillId="23" borderId="2" xfId="0" applyFont="1" applyFill="1" applyBorder="1" applyAlignment="1">
      <alignment horizontal="center" vertical="center" wrapText="1"/>
    </xf>
    <xf numFmtId="0" fontId="121" fillId="23" borderId="2" xfId="0" applyFont="1" applyFill="1" applyBorder="1" applyAlignment="1">
      <alignment horizontal="center"/>
    </xf>
    <xf numFmtId="0" fontId="121" fillId="23" borderId="2" xfId="0" applyFont="1" applyFill="1" applyBorder="1" applyAlignment="1"/>
    <xf numFmtId="0" fontId="121" fillId="12" borderId="2" xfId="0" applyFont="1" applyFill="1" applyBorder="1" applyAlignment="1">
      <alignment horizontal="center"/>
    </xf>
    <xf numFmtId="2" fontId="121" fillId="23" borderId="2" xfId="0" applyNumberFormat="1" applyFont="1" applyFill="1" applyBorder="1" applyAlignment="1">
      <alignment horizontal="center"/>
    </xf>
    <xf numFmtId="0" fontId="119" fillId="23" borderId="2" xfId="0" applyFont="1" applyFill="1" applyBorder="1" applyAlignment="1"/>
    <xf numFmtId="0" fontId="119" fillId="12" borderId="2" xfId="0" applyFont="1" applyFill="1" applyBorder="1" applyAlignment="1">
      <alignment horizontal="center"/>
    </xf>
    <xf numFmtId="2" fontId="119" fillId="23" borderId="2" xfId="0" applyNumberFormat="1" applyFont="1" applyFill="1" applyBorder="1" applyAlignment="1">
      <alignment horizontal="center"/>
    </xf>
    <xf numFmtId="0" fontId="0" fillId="23" borderId="2" xfId="0" applyFill="1" applyBorder="1" applyAlignment="1"/>
    <xf numFmtId="0" fontId="96" fillId="23" borderId="2" xfId="0" applyFont="1" applyFill="1" applyBorder="1" applyAlignment="1">
      <alignment horizontal="center"/>
    </xf>
    <xf numFmtId="2" fontId="96" fillId="23" borderId="2" xfId="0" applyNumberFormat="1" applyFont="1" applyFill="1" applyBorder="1" applyAlignment="1">
      <alignment horizontal="center"/>
    </xf>
    <xf numFmtId="2" fontId="13" fillId="0" borderId="39" xfId="0" applyNumberFormat="1" applyFont="1" applyBorder="1" applyAlignment="1"/>
    <xf numFmtId="2" fontId="13" fillId="0" borderId="20" xfId="0" applyNumberFormat="1" applyFont="1" applyBorder="1" applyAlignment="1"/>
    <xf numFmtId="0" fontId="13" fillId="0" borderId="20" xfId="0" applyFont="1" applyBorder="1" applyAlignment="1"/>
    <xf numFmtId="0" fontId="13" fillId="0" borderId="20" xfId="0" applyFont="1" applyBorder="1" applyAlignment="1">
      <alignment horizontal="center"/>
    </xf>
    <xf numFmtId="0" fontId="13" fillId="0" borderId="61" xfId="0" applyFont="1" applyBorder="1" applyAlignment="1"/>
    <xf numFmtId="0" fontId="13" fillId="0" borderId="32" xfId="0" applyFont="1" applyBorder="1" applyAlignment="1"/>
    <xf numFmtId="0" fontId="6" fillId="0" borderId="2" xfId="0" quotePrefix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8" fillId="0" borderId="2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vertical="center" wrapText="1"/>
    </xf>
    <xf numFmtId="2" fontId="8" fillId="0" borderId="6" xfId="0" applyNumberFormat="1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right" wrapText="1"/>
    </xf>
    <xf numFmtId="2" fontId="8" fillId="0" borderId="6" xfId="0" applyNumberFormat="1" applyFont="1" applyFill="1" applyBorder="1" applyAlignment="1">
      <alignment horizontal="right" vertical="center"/>
    </xf>
    <xf numFmtId="2" fontId="7" fillId="0" borderId="16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left" vertical="center" wrapText="1"/>
    </xf>
    <xf numFmtId="2" fontId="8" fillId="0" borderId="38" xfId="0" applyNumberFormat="1" applyFont="1" applyFill="1" applyBorder="1" applyAlignment="1">
      <alignment horizontal="right" vertical="center"/>
    </xf>
    <xf numFmtId="2" fontId="8" fillId="0" borderId="3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right" vertical="center"/>
    </xf>
    <xf numFmtId="2" fontId="8" fillId="0" borderId="2" xfId="13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166" fontId="8" fillId="0" borderId="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10" fontId="8" fillId="0" borderId="17" xfId="13" applyNumberFormat="1" applyFont="1" applyFill="1" applyBorder="1" applyAlignment="1">
      <alignment horizontal="right" vertical="center"/>
    </xf>
    <xf numFmtId="2" fontId="6" fillId="0" borderId="17" xfId="0" applyNumberFormat="1" applyFont="1" applyFill="1" applyBorder="1" applyAlignment="1">
      <alignment horizontal="right" vertical="center"/>
    </xf>
    <xf numFmtId="0" fontId="127" fillId="0" borderId="2" xfId="20" applyFont="1" applyBorder="1" applyAlignment="1">
      <alignment vertical="center"/>
    </xf>
    <xf numFmtId="0" fontId="127" fillId="0" borderId="2" xfId="20" applyFont="1" applyBorder="1" applyAlignment="1">
      <alignment wrapText="1"/>
    </xf>
    <xf numFmtId="0" fontId="114" fillId="0" borderId="0" xfId="20" applyFont="1"/>
    <xf numFmtId="0" fontId="128" fillId="0" borderId="2" xfId="20" applyFont="1" applyBorder="1"/>
    <xf numFmtId="0" fontId="128" fillId="0" borderId="2" xfId="20" applyFont="1" applyBorder="1" applyAlignment="1">
      <alignment horizontal="center"/>
    </xf>
    <xf numFmtId="0" fontId="115" fillId="0" borderId="0" xfId="20" applyFont="1"/>
    <xf numFmtId="0" fontId="8" fillId="23" borderId="0" xfId="19" applyFont="1" applyFill="1" applyAlignment="1"/>
    <xf numFmtId="0" fontId="7" fillId="23" borderId="2" xfId="19" applyFont="1" applyFill="1" applyBorder="1" applyAlignment="1">
      <alignment horizontal="center" vertical="center"/>
    </xf>
    <xf numFmtId="0" fontId="8" fillId="23" borderId="2" xfId="19" applyFont="1" applyFill="1" applyBorder="1" applyAlignment="1">
      <alignment horizontal="center" vertical="center" wrapText="1"/>
    </xf>
    <xf numFmtId="9" fontId="8" fillId="23" borderId="2" xfId="19" applyNumberFormat="1" applyFont="1" applyFill="1" applyBorder="1" applyAlignment="1">
      <alignment horizontal="center" vertical="center"/>
    </xf>
    <xf numFmtId="0" fontId="8" fillId="23" borderId="0" xfId="19" applyFont="1" applyFill="1" applyBorder="1" applyAlignment="1">
      <alignment wrapText="1"/>
    </xf>
    <xf numFmtId="9" fontId="8" fillId="23" borderId="0" xfId="19" applyNumberFormat="1" applyFont="1" applyFill="1" applyBorder="1" applyAlignment="1">
      <alignment horizontal="center" vertical="center"/>
    </xf>
    <xf numFmtId="9" fontId="8" fillId="23" borderId="0" xfId="19" applyNumberFormat="1" applyFont="1" applyFill="1" applyBorder="1" applyAlignment="1"/>
    <xf numFmtId="0" fontId="0" fillId="23" borderId="0" xfId="19" applyFont="1" applyFill="1" applyAlignment="1"/>
    <xf numFmtId="0" fontId="74" fillId="23" borderId="0" xfId="19" applyFont="1" applyFill="1" applyAlignment="1">
      <alignment horizontal="right"/>
    </xf>
    <xf numFmtId="9" fontId="0" fillId="23" borderId="0" xfId="18" applyFont="1" applyFill="1" applyAlignment="1"/>
    <xf numFmtId="9" fontId="0" fillId="23" borderId="0" xfId="19" applyNumberFormat="1" applyFont="1" applyFill="1" applyAlignment="1"/>
    <xf numFmtId="0" fontId="119" fillId="23" borderId="2" xfId="19" applyFont="1" applyFill="1" applyBorder="1" applyAlignment="1">
      <alignment horizontal="center" vertical="center" wrapText="1"/>
    </xf>
    <xf numFmtId="0" fontId="120" fillId="23" borderId="0" xfId="19" applyFont="1" applyFill="1" applyAlignment="1">
      <alignment horizontal="center" vertical="center" wrapText="1"/>
    </xf>
    <xf numFmtId="0" fontId="121" fillId="23" borderId="2" xfId="19" applyFont="1" applyFill="1" applyBorder="1" applyAlignment="1">
      <alignment horizontal="center"/>
    </xf>
    <xf numFmtId="0" fontId="121" fillId="23" borderId="2" xfId="19" applyFont="1" applyFill="1" applyBorder="1" applyAlignment="1"/>
    <xf numFmtId="0" fontId="121" fillId="12" borderId="2" xfId="19" applyFont="1" applyFill="1" applyBorder="1" applyAlignment="1">
      <alignment horizontal="center"/>
    </xf>
    <xf numFmtId="1" fontId="121" fillId="23" borderId="2" xfId="19" applyNumberFormat="1" applyFont="1" applyFill="1" applyBorder="1" applyAlignment="1">
      <alignment horizontal="center"/>
    </xf>
    <xf numFmtId="2" fontId="121" fillId="23" borderId="2" xfId="19" applyNumberFormat="1" applyFont="1" applyFill="1" applyBorder="1" applyAlignment="1">
      <alignment horizontal="center"/>
    </xf>
    <xf numFmtId="0" fontId="118" fillId="23" borderId="0" xfId="19" applyFont="1" applyFill="1" applyAlignment="1"/>
    <xf numFmtId="4" fontId="118" fillId="23" borderId="0" xfId="19" applyNumberFormat="1" applyFont="1" applyFill="1" applyAlignment="1"/>
    <xf numFmtId="0" fontId="119" fillId="23" borderId="2" xfId="19" applyFont="1" applyFill="1" applyBorder="1" applyAlignment="1"/>
    <xf numFmtId="0" fontId="119" fillId="12" borderId="2" xfId="19" applyFont="1" applyFill="1" applyBorder="1" applyAlignment="1">
      <alignment horizontal="center"/>
    </xf>
    <xf numFmtId="2" fontId="119" fillId="23" borderId="2" xfId="19" applyNumberFormat="1" applyFont="1" applyFill="1" applyBorder="1" applyAlignment="1">
      <alignment horizontal="center"/>
    </xf>
    <xf numFmtId="0" fontId="0" fillId="23" borderId="2" xfId="19" applyFont="1" applyFill="1" applyBorder="1" applyAlignment="1"/>
    <xf numFmtId="0" fontId="96" fillId="23" borderId="2" xfId="19" applyFont="1" applyFill="1" applyBorder="1" applyAlignment="1">
      <alignment horizontal="center"/>
    </xf>
    <xf numFmtId="2" fontId="96" fillId="23" borderId="2" xfId="19" applyNumberFormat="1" applyFont="1" applyFill="1" applyBorder="1" applyAlignment="1">
      <alignment horizontal="center"/>
    </xf>
    <xf numFmtId="0" fontId="0" fillId="23" borderId="0" xfId="19" applyFont="1" applyFill="1" applyAlignment="1">
      <alignment horizontal="right"/>
    </xf>
    <xf numFmtId="39" fontId="6" fillId="0" borderId="2" xfId="15" applyNumberFormat="1" applyFont="1" applyBorder="1" applyAlignment="1">
      <alignment horizontal="right" vertical="center"/>
    </xf>
    <xf numFmtId="2" fontId="6" fillId="0" borderId="2" xfId="15" applyNumberFormat="1" applyFont="1" applyBorder="1" applyAlignment="1">
      <alignment horizontal="right" vertical="center"/>
    </xf>
    <xf numFmtId="0" fontId="0" fillId="0" borderId="2" xfId="0" applyBorder="1"/>
    <xf numFmtId="166" fontId="8" fillId="0" borderId="2" xfId="0" applyNumberFormat="1" applyFont="1" applyFill="1" applyBorder="1" applyAlignment="1">
      <alignment horizontal="right" vertical="center"/>
    </xf>
    <xf numFmtId="0" fontId="8" fillId="12" borderId="0" xfId="0" applyFont="1" applyFill="1" applyAlignment="1"/>
    <xf numFmtId="4" fontId="8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/>
    <xf numFmtId="0" fontId="8" fillId="0" borderId="0" xfId="0" applyFont="1" applyFill="1" applyAlignment="1">
      <alignment horizontal="left"/>
    </xf>
    <xf numFmtId="0" fontId="8" fillId="0" borderId="33" xfId="0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129" fillId="0" borderId="0" xfId="0" applyFont="1" applyAlignment="1"/>
    <xf numFmtId="0" fontId="129" fillId="0" borderId="2" xfId="0" applyFont="1" applyBorder="1" applyAlignment="1"/>
    <xf numFmtId="0" fontId="129" fillId="16" borderId="2" xfId="0" applyFont="1" applyFill="1" applyBorder="1" applyAlignment="1"/>
    <xf numFmtId="10" fontId="129" fillId="0" borderId="2" xfId="0" applyNumberFormat="1" applyFont="1" applyBorder="1" applyAlignment="1"/>
    <xf numFmtId="1" fontId="129" fillId="0" borderId="2" xfId="0" applyNumberFormat="1" applyFont="1" applyBorder="1" applyAlignment="1"/>
    <xf numFmtId="2" fontId="129" fillId="0" borderId="2" xfId="0" applyNumberFormat="1" applyFont="1" applyBorder="1" applyAlignment="1"/>
    <xf numFmtId="0" fontId="6" fillId="0" borderId="17" xfId="0" applyFont="1" applyBorder="1" applyAlignment="1"/>
    <xf numFmtId="2" fontId="7" fillId="0" borderId="6" xfId="0" applyNumberFormat="1" applyFont="1" applyFill="1" applyBorder="1" applyAlignment="1">
      <alignment horizontal="right" vertical="center"/>
    </xf>
    <xf numFmtId="2" fontId="7" fillId="0" borderId="17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right" vertical="center"/>
    </xf>
    <xf numFmtId="10" fontId="13" fillId="0" borderId="17" xfId="0" applyNumberFormat="1" applyFont="1" applyFill="1" applyBorder="1" applyAlignment="1">
      <alignment horizontal="right" vertical="center"/>
    </xf>
    <xf numFmtId="10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right" vertical="center"/>
    </xf>
    <xf numFmtId="10" fontId="13" fillId="0" borderId="19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10" borderId="2" xfId="0" applyFont="1" applyFill="1" applyBorder="1" applyAlignment="1">
      <alignment horizontal="center" vertical="center" wrapText="1"/>
    </xf>
    <xf numFmtId="0" fontId="7" fillId="10" borderId="65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right" vertical="center"/>
    </xf>
    <xf numFmtId="2" fontId="8" fillId="0" borderId="39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 wrapText="1"/>
    </xf>
    <xf numFmtId="0" fontId="0" fillId="0" borderId="0" xfId="15" applyFont="1"/>
    <xf numFmtId="2" fontId="130" fillId="0" borderId="75" xfId="15" applyNumberFormat="1" applyFont="1" applyBorder="1" applyAlignment="1">
      <alignment horizontal="right"/>
    </xf>
    <xf numFmtId="0" fontId="130" fillId="0" borderId="75" xfId="15" applyFont="1" applyBorder="1" applyAlignment="1">
      <alignment wrapText="1"/>
    </xf>
    <xf numFmtId="0" fontId="131" fillId="0" borderId="31" xfId="15" applyFont="1" applyBorder="1" applyAlignment="1">
      <alignment horizontal="center"/>
    </xf>
    <xf numFmtId="2" fontId="131" fillId="0" borderId="75" xfId="15" applyNumberFormat="1" applyFont="1" applyBorder="1" applyAlignment="1">
      <alignment horizontal="right"/>
    </xf>
    <xf numFmtId="0" fontId="131" fillId="0" borderId="75" xfId="15" applyFont="1" applyBorder="1" applyAlignment="1">
      <alignment wrapText="1"/>
    </xf>
    <xf numFmtId="0" fontId="130" fillId="0" borderId="31" xfId="15" applyFont="1" applyBorder="1" applyAlignment="1">
      <alignment horizontal="center"/>
    </xf>
    <xf numFmtId="0" fontId="132" fillId="21" borderId="75" xfId="15" applyFont="1" applyFill="1" applyBorder="1" applyAlignment="1">
      <alignment horizontal="center" wrapText="1"/>
    </xf>
    <xf numFmtId="0" fontId="0" fillId="20" borderId="0" xfId="15" applyFont="1" applyFill="1"/>
    <xf numFmtId="2" fontId="133" fillId="0" borderId="75" xfId="15" applyNumberFormat="1" applyFont="1" applyBorder="1" applyAlignment="1">
      <alignment horizontal="right"/>
    </xf>
    <xf numFmtId="0" fontId="133" fillId="0" borderId="75" xfId="15" applyFont="1" applyBorder="1"/>
    <xf numFmtId="0" fontId="133" fillId="0" borderId="31" xfId="15" applyFont="1" applyBorder="1"/>
    <xf numFmtId="0" fontId="132" fillId="21" borderId="75" xfId="15" applyFont="1" applyFill="1" applyBorder="1" applyAlignment="1">
      <alignment horizontal="center"/>
    </xf>
    <xf numFmtId="0" fontId="132" fillId="21" borderId="74" xfId="15" applyFont="1" applyFill="1" applyBorder="1" applyAlignment="1">
      <alignment horizontal="center"/>
    </xf>
    <xf numFmtId="10" fontId="131" fillId="0" borderId="75" xfId="15" applyNumberFormat="1" applyFont="1" applyBorder="1" applyAlignment="1">
      <alignment horizontal="right"/>
    </xf>
    <xf numFmtId="0" fontId="132" fillId="21" borderId="74" xfId="15" applyFont="1" applyFill="1" applyBorder="1" applyAlignment="1">
      <alignment horizontal="center" wrapText="1"/>
    </xf>
    <xf numFmtId="0" fontId="131" fillId="0" borderId="75" xfId="15" applyFont="1" applyBorder="1" applyAlignment="1">
      <alignment vertical="top"/>
    </xf>
    <xf numFmtId="0" fontId="131" fillId="0" borderId="75" xfId="15" applyFont="1" applyBorder="1" applyAlignment="1">
      <alignment vertical="top" wrapText="1"/>
    </xf>
    <xf numFmtId="4" fontId="130" fillId="0" borderId="75" xfId="15" applyNumberFormat="1" applyFont="1" applyBorder="1" applyAlignment="1">
      <alignment horizontal="right"/>
    </xf>
    <xf numFmtId="0" fontId="130" fillId="0" borderId="75" xfId="15" applyFont="1" applyBorder="1" applyAlignment="1">
      <alignment horizontal="right"/>
    </xf>
    <xf numFmtId="0" fontId="130" fillId="0" borderId="75" xfId="15" applyFont="1" applyBorder="1"/>
    <xf numFmtId="4" fontId="131" fillId="0" borderId="75" xfId="15" applyNumberFormat="1" applyFont="1" applyBorder="1" applyAlignment="1">
      <alignment horizontal="right"/>
    </xf>
    <xf numFmtId="10" fontId="130" fillId="0" borderId="75" xfId="15" applyNumberFormat="1" applyFont="1" applyBorder="1" applyAlignment="1">
      <alignment horizontal="right"/>
    </xf>
    <xf numFmtId="0" fontId="131" fillId="0" borderId="75" xfId="15" applyFont="1" applyBorder="1"/>
    <xf numFmtId="0" fontId="132" fillId="22" borderId="75" xfId="15" applyFont="1" applyFill="1" applyBorder="1" applyAlignment="1">
      <alignment horizontal="center"/>
    </xf>
    <xf numFmtId="0" fontId="132" fillId="22" borderId="74" xfId="15" applyFont="1" applyFill="1" applyBorder="1" applyAlignment="1">
      <alignment horizontal="center"/>
    </xf>
    <xf numFmtId="2" fontId="0" fillId="0" borderId="0" xfId="15" applyNumberFormat="1" applyFont="1"/>
    <xf numFmtId="10" fontId="133" fillId="0" borderId="75" xfId="15" applyNumberFormat="1" applyFont="1" applyBorder="1" applyAlignment="1">
      <alignment horizontal="right"/>
    </xf>
    <xf numFmtId="0" fontId="133" fillId="0" borderId="75" xfId="15" applyFont="1" applyBorder="1" applyAlignment="1">
      <alignment wrapText="1"/>
    </xf>
    <xf numFmtId="0" fontId="133" fillId="0" borderId="31" xfId="15" applyFont="1" applyBorder="1" applyAlignment="1">
      <alignment horizontal="center"/>
    </xf>
    <xf numFmtId="2" fontId="132" fillId="0" borderId="75" xfId="15" applyNumberFormat="1" applyFont="1" applyBorder="1" applyAlignment="1">
      <alignment horizontal="right"/>
    </xf>
    <xf numFmtId="0" fontId="132" fillId="0" borderId="75" xfId="15" applyFont="1" applyBorder="1"/>
    <xf numFmtId="0" fontId="132" fillId="0" borderId="31" xfId="15" applyFont="1" applyBorder="1" applyAlignment="1">
      <alignment horizontal="center"/>
    </xf>
    <xf numFmtId="0" fontId="132" fillId="21" borderId="81" xfId="15" applyFont="1" applyFill="1" applyBorder="1" applyAlignment="1">
      <alignment horizontal="center"/>
    </xf>
    <xf numFmtId="0" fontId="131" fillId="0" borderId="31" xfId="15" applyFont="1" applyBorder="1" applyAlignment="1">
      <alignment horizontal="center" vertical="top" wrapText="1"/>
    </xf>
    <xf numFmtId="2" fontId="133" fillId="0" borderId="75" xfId="15" applyNumberFormat="1" applyFont="1" applyBorder="1"/>
    <xf numFmtId="0" fontId="130" fillId="22" borderId="74" xfId="15" applyFont="1" applyFill="1" applyBorder="1" applyAlignment="1">
      <alignment horizontal="center" vertical="top" wrapText="1"/>
    </xf>
    <xf numFmtId="0" fontId="130" fillId="22" borderId="74" xfId="15" applyFont="1" applyFill="1" applyBorder="1" applyAlignment="1">
      <alignment vertical="top" wrapText="1"/>
    </xf>
    <xf numFmtId="0" fontId="130" fillId="22" borderId="81" xfId="15" applyFont="1" applyFill="1" applyBorder="1" applyAlignment="1">
      <alignment horizontal="center" vertical="top" wrapText="1"/>
    </xf>
    <xf numFmtId="0" fontId="132" fillId="0" borderId="31" xfId="15" applyFont="1" applyBorder="1"/>
    <xf numFmtId="0" fontId="132" fillId="21" borderId="55" xfId="15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vertical="center" wrapText="1"/>
    </xf>
    <xf numFmtId="2" fontId="132" fillId="12" borderId="75" xfId="15" applyNumberFormat="1" applyFont="1" applyFill="1" applyBorder="1" applyAlignment="1">
      <alignment horizontal="right" wrapText="1"/>
    </xf>
    <xf numFmtId="0" fontId="132" fillId="12" borderId="75" xfId="15" applyFont="1" applyFill="1" applyBorder="1" applyAlignment="1">
      <alignment wrapText="1"/>
    </xf>
    <xf numFmtId="0" fontId="133" fillId="12" borderId="31" xfId="15" applyFont="1" applyFill="1" applyBorder="1" applyAlignment="1">
      <alignment horizontal="center" wrapText="1"/>
    </xf>
    <xf numFmtId="0" fontId="8" fillId="0" borderId="59" xfId="0" applyFont="1" applyFill="1" applyBorder="1" applyAlignment="1">
      <alignment vertical="center" wrapText="1"/>
    </xf>
    <xf numFmtId="2" fontId="133" fillId="12" borderId="75" xfId="15" applyNumberFormat="1" applyFont="1" applyFill="1" applyBorder="1" applyAlignment="1">
      <alignment horizontal="right"/>
    </xf>
    <xf numFmtId="0" fontId="133" fillId="12" borderId="75" xfId="15" applyFont="1" applyFill="1" applyBorder="1" applyAlignment="1">
      <alignment wrapText="1"/>
    </xf>
    <xf numFmtId="2" fontId="0" fillId="0" borderId="2" xfId="15" applyNumberFormat="1" applyFont="1" applyBorder="1"/>
    <xf numFmtId="0" fontId="0" fillId="0" borderId="2" xfId="15" applyFont="1" applyBorder="1"/>
    <xf numFmtId="2" fontId="7" fillId="0" borderId="56" xfId="0" applyNumberFormat="1" applyFont="1" applyFill="1" applyBorder="1" applyAlignment="1">
      <alignment vertical="center" wrapText="1"/>
    </xf>
    <xf numFmtId="0" fontId="132" fillId="12" borderId="75" xfId="15" applyFont="1" applyFill="1" applyBorder="1" applyAlignment="1">
      <alignment horizontal="center" wrapText="1"/>
    </xf>
    <xf numFmtId="0" fontId="132" fillId="12" borderId="74" xfId="15" applyFont="1" applyFill="1" applyBorder="1" applyAlignment="1">
      <alignment horizontal="center" wrapText="1"/>
    </xf>
    <xf numFmtId="4" fontId="133" fillId="0" borderId="75" xfId="15" applyNumberFormat="1" applyFont="1" applyBorder="1" applyAlignment="1">
      <alignment horizontal="right"/>
    </xf>
    <xf numFmtId="0" fontId="132" fillId="0" borderId="75" xfId="15" applyFont="1" applyBorder="1" applyAlignment="1">
      <alignment horizontal="center" wrapText="1"/>
    </xf>
    <xf numFmtId="0" fontId="132" fillId="0" borderId="31" xfId="15" applyFont="1" applyBorder="1" applyAlignment="1">
      <alignment wrapText="1"/>
    </xf>
    <xf numFmtId="0" fontId="133" fillId="0" borderId="75" xfId="15" quotePrefix="1" applyFont="1" applyBorder="1" applyAlignment="1">
      <alignment horizontal="center" wrapText="1"/>
    </xf>
    <xf numFmtId="0" fontId="133" fillId="0" borderId="31" xfId="15" applyFont="1" applyBorder="1" applyAlignment="1">
      <alignment wrapText="1"/>
    </xf>
    <xf numFmtId="0" fontId="133" fillId="0" borderId="75" xfId="15" applyFont="1" applyBorder="1" applyAlignment="1">
      <alignment horizontal="center"/>
    </xf>
    <xf numFmtId="0" fontId="132" fillId="24" borderId="74" xfId="15" applyFont="1" applyFill="1" applyBorder="1" applyAlignment="1">
      <alignment horizontal="right"/>
    </xf>
    <xf numFmtId="0" fontId="132" fillId="21" borderId="74" xfId="15" applyFont="1" applyFill="1" applyBorder="1"/>
    <xf numFmtId="0" fontId="132" fillId="24" borderId="81" xfId="15" applyFont="1" applyFill="1" applyBorder="1" applyAlignment="1">
      <alignment wrapText="1"/>
    </xf>
    <xf numFmtId="4" fontId="132" fillId="0" borderId="75" xfId="15" applyNumberFormat="1" applyFont="1" applyBorder="1" applyAlignment="1">
      <alignment horizontal="center"/>
    </xf>
    <xf numFmtId="4" fontId="133" fillId="0" borderId="75" xfId="15" applyNumberFormat="1" applyFont="1" applyBorder="1" applyAlignment="1">
      <alignment horizontal="center"/>
    </xf>
    <xf numFmtId="4" fontId="133" fillId="0" borderId="73" xfId="15" applyNumberFormat="1" applyFont="1" applyBorder="1" applyAlignment="1"/>
    <xf numFmtId="4" fontId="0" fillId="0" borderId="75" xfId="15" applyNumberFormat="1" applyFont="1" applyBorder="1"/>
    <xf numFmtId="0" fontId="7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4" fontId="132" fillId="0" borderId="75" xfId="15" applyNumberFormat="1" applyFont="1" applyBorder="1" applyAlignment="1">
      <alignment horizontal="right"/>
    </xf>
    <xf numFmtId="0" fontId="132" fillId="21" borderId="81" xfId="15" applyFont="1" applyFill="1" applyBorder="1"/>
    <xf numFmtId="2" fontId="132" fillId="12" borderId="75" xfId="15" applyNumberFormat="1" applyFont="1" applyFill="1" applyBorder="1" applyAlignment="1">
      <alignment horizontal="right"/>
    </xf>
    <xf numFmtId="2" fontId="7" fillId="12" borderId="42" xfId="0" applyNumberFormat="1" applyFont="1" applyFill="1" applyBorder="1" applyAlignment="1">
      <alignment vertical="center"/>
    </xf>
    <xf numFmtId="0" fontId="132" fillId="12" borderId="75" xfId="15" applyFont="1" applyFill="1" applyBorder="1"/>
    <xf numFmtId="0" fontId="132" fillId="12" borderId="31" xfId="15" applyFont="1" applyFill="1" applyBorder="1" applyAlignment="1">
      <alignment horizontal="center"/>
    </xf>
    <xf numFmtId="2" fontId="0" fillId="12" borderId="75" xfId="15" applyNumberFormat="1" applyFont="1" applyFill="1" applyBorder="1"/>
    <xf numFmtId="0" fontId="133" fillId="12" borderId="31" xfId="15" applyFont="1" applyFill="1" applyBorder="1" applyAlignment="1">
      <alignment horizontal="center"/>
    </xf>
    <xf numFmtId="0" fontId="134" fillId="12" borderId="75" xfId="15" applyFont="1" applyFill="1" applyBorder="1"/>
    <xf numFmtId="0" fontId="134" fillId="12" borderId="31" xfId="15" applyFont="1" applyFill="1" applyBorder="1" applyAlignment="1">
      <alignment horizontal="right"/>
    </xf>
    <xf numFmtId="2" fontId="134" fillId="12" borderId="75" xfId="15" applyNumberFormat="1" applyFont="1" applyFill="1" applyBorder="1" applyAlignment="1">
      <alignment horizontal="right"/>
    </xf>
    <xf numFmtId="0" fontId="133" fillId="12" borderId="75" xfId="15" applyFont="1" applyFill="1" applyBorder="1"/>
    <xf numFmtId="0" fontId="132" fillId="12" borderId="75" xfId="15" applyFont="1" applyFill="1" applyBorder="1" applyAlignment="1">
      <alignment horizontal="center"/>
    </xf>
    <xf numFmtId="0" fontId="132" fillId="12" borderId="74" xfId="15" applyFont="1" applyFill="1" applyBorder="1" applyAlignment="1">
      <alignment horizontal="center"/>
    </xf>
    <xf numFmtId="2" fontId="8" fillId="0" borderId="2" xfId="18" applyNumberFormat="1" applyFont="1" applyFill="1" applyBorder="1" applyAlignment="1">
      <alignment horizontal="right"/>
    </xf>
    <xf numFmtId="10" fontId="131" fillId="12" borderId="75" xfId="15" applyNumberFormat="1" applyFont="1" applyFill="1" applyBorder="1" applyAlignment="1">
      <alignment horizontal="center"/>
    </xf>
    <xf numFmtId="0" fontId="131" fillId="12" borderId="75" xfId="15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0" fillId="21" borderId="74" xfId="15" applyFont="1" applyFill="1" applyBorder="1" applyAlignment="1">
      <alignment horizontal="center"/>
    </xf>
    <xf numFmtId="0" fontId="130" fillId="21" borderId="81" xfId="15" applyFont="1" applyFill="1" applyBorder="1"/>
    <xf numFmtId="0" fontId="131" fillId="0" borderId="75" xfId="15" applyFont="1" applyBorder="1" applyAlignment="1">
      <alignment horizontal="center"/>
    </xf>
    <xf numFmtId="0" fontId="131" fillId="0" borderId="75" xfId="15" applyFont="1" applyBorder="1" applyAlignment="1">
      <alignment horizontal="center" wrapText="1"/>
    </xf>
    <xf numFmtId="0" fontId="132" fillId="22" borderId="75" xfId="15" applyFont="1" applyFill="1" applyBorder="1" applyAlignment="1">
      <alignment horizontal="center" vertical="top" wrapText="1"/>
    </xf>
    <xf numFmtId="0" fontId="130" fillId="22" borderId="75" xfId="15" applyFont="1" applyFill="1" applyBorder="1" applyAlignment="1">
      <alignment horizontal="center" wrapText="1"/>
    </xf>
    <xf numFmtId="0" fontId="130" fillId="22" borderId="75" xfId="15" applyFont="1" applyFill="1" applyBorder="1" applyAlignment="1">
      <alignment wrapText="1"/>
    </xf>
    <xf numFmtId="2" fontId="124" fillId="0" borderId="75" xfId="15" applyNumberFormat="1" applyFont="1" applyBorder="1"/>
    <xf numFmtId="2" fontId="124" fillId="0" borderId="75" xfId="15" applyNumberFormat="1" applyFont="1" applyBorder="1" applyAlignment="1">
      <alignment horizontal="right"/>
    </xf>
    <xf numFmtId="0" fontId="124" fillId="0" borderId="75" xfId="15" applyFont="1" applyBorder="1" applyAlignment="1">
      <alignment wrapText="1"/>
    </xf>
    <xf numFmtId="0" fontId="124" fillId="0" borderId="31" xfId="15" applyFont="1" applyBorder="1" applyAlignment="1">
      <alignment horizontal="center"/>
    </xf>
    <xf numFmtId="2" fontId="125" fillId="0" borderId="75" xfId="15" applyNumberFormat="1" applyFont="1" applyBorder="1"/>
    <xf numFmtId="2" fontId="125" fillId="0" borderId="75" xfId="15" applyNumberFormat="1" applyFont="1" applyBorder="1" applyAlignment="1">
      <alignment horizontal="right"/>
    </xf>
    <xf numFmtId="0" fontId="125" fillId="0" borderId="31" xfId="15" applyFont="1" applyBorder="1" applyAlignment="1">
      <alignment horizontal="center"/>
    </xf>
    <xf numFmtId="0" fontId="125" fillId="0" borderId="75" xfId="15" applyFont="1" applyBorder="1" applyAlignment="1">
      <alignment wrapText="1"/>
    </xf>
    <xf numFmtId="0" fontId="95" fillId="21" borderId="75" xfId="15" applyFont="1" applyFill="1" applyBorder="1" applyAlignment="1">
      <alignment horizontal="center" wrapText="1"/>
    </xf>
    <xf numFmtId="4" fontId="124" fillId="0" borderId="75" xfId="15" applyNumberFormat="1" applyFont="1" applyBorder="1" applyAlignment="1">
      <alignment horizontal="right"/>
    </xf>
    <xf numFmtId="4" fontId="125" fillId="0" borderId="75" xfId="15" applyNumberFormat="1" applyFont="1" applyBorder="1" applyAlignment="1">
      <alignment horizontal="right"/>
    </xf>
    <xf numFmtId="0" fontId="124" fillId="0" borderId="31" xfId="15" applyFont="1" applyBorder="1" applyAlignment="1">
      <alignment wrapText="1"/>
    </xf>
    <xf numFmtId="4" fontId="125" fillId="0" borderId="31" xfId="15" applyNumberFormat="1" applyFont="1" applyBorder="1" applyAlignment="1">
      <alignment wrapText="1"/>
    </xf>
    <xf numFmtId="0" fontId="125" fillId="0" borderId="31" xfId="15" applyFont="1" applyBorder="1" applyAlignment="1">
      <alignment wrapText="1"/>
    </xf>
    <xf numFmtId="4" fontId="125" fillId="0" borderId="81" xfId="15" applyNumberFormat="1" applyFont="1" applyBorder="1" applyAlignment="1">
      <alignment wrapText="1"/>
    </xf>
    <xf numFmtId="4" fontId="125" fillId="0" borderId="74" xfId="15" applyNumberFormat="1" applyFont="1" applyBorder="1" applyAlignment="1">
      <alignment horizontal="right"/>
    </xf>
    <xf numFmtId="0" fontId="125" fillId="0" borderId="81" xfId="15" applyFont="1" applyBorder="1" applyAlignment="1">
      <alignment wrapText="1"/>
    </xf>
    <xf numFmtId="0" fontId="95" fillId="21" borderId="55" xfId="15" applyFont="1" applyFill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wrapText="1"/>
    </xf>
    <xf numFmtId="0" fontId="7" fillId="0" borderId="17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right" vertical="center"/>
    </xf>
    <xf numFmtId="10" fontId="8" fillId="0" borderId="2" xfId="13" applyNumberFormat="1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10" fontId="8" fillId="0" borderId="17" xfId="13" applyNumberFormat="1" applyFont="1" applyFill="1" applyBorder="1" applyAlignment="1">
      <alignment horizontal="center" vertical="center"/>
    </xf>
    <xf numFmtId="10" fontId="8" fillId="0" borderId="17" xfId="0" applyNumberFormat="1" applyFont="1" applyFill="1" applyBorder="1" applyAlignment="1">
      <alignment horizontal="right" vertical="center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7" fillId="0" borderId="17" xfId="0" applyFont="1" applyBorder="1" applyAlignment="1">
      <alignment vertical="center" wrapText="1"/>
    </xf>
    <xf numFmtId="2" fontId="13" fillId="0" borderId="2" xfId="0" applyNumberFormat="1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65" fontId="7" fillId="0" borderId="17" xfId="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2" fontId="6" fillId="0" borderId="6" xfId="15" applyNumberFormat="1" applyFont="1" applyBorder="1" applyAlignment="1">
      <alignment horizontal="right" vertical="center"/>
    </xf>
    <xf numFmtId="2" fontId="8" fillId="0" borderId="6" xfId="0" applyNumberFormat="1" applyFont="1" applyFill="1" applyBorder="1" applyAlignment="1">
      <alignment horizontal="right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13" fillId="0" borderId="0" xfId="0" applyFont="1" applyBorder="1" applyAlignment="1"/>
    <xf numFmtId="2" fontId="13" fillId="0" borderId="17" xfId="0" applyNumberFormat="1" applyFont="1" applyBorder="1" applyAlignment="1">
      <alignment horizontal="center"/>
    </xf>
    <xf numFmtId="10" fontId="13" fillId="0" borderId="2" xfId="13" applyNumberFormat="1" applyFont="1" applyFill="1" applyBorder="1" applyAlignment="1">
      <alignment vertical="center"/>
    </xf>
    <xf numFmtId="10" fontId="13" fillId="0" borderId="2" xfId="0" applyNumberFormat="1" applyFont="1" applyFill="1" applyBorder="1" applyAlignment="1">
      <alignment vertical="center"/>
    </xf>
    <xf numFmtId="9" fontId="13" fillId="0" borderId="2" xfId="13" applyFont="1" applyFill="1" applyBorder="1" applyAlignment="1">
      <alignment horizontal="right" vertical="center"/>
    </xf>
    <xf numFmtId="0" fontId="6" fillId="11" borderId="0" xfId="0" applyFont="1" applyFill="1" applyBorder="1" applyAlignment="1">
      <alignment horizontal="center" vertical="top" wrapText="1"/>
    </xf>
    <xf numFmtId="0" fontId="6" fillId="11" borderId="0" xfId="0" applyFont="1" applyFill="1" applyBorder="1" applyAlignment="1">
      <alignment horizontal="right" vertical="top" wrapText="1"/>
    </xf>
    <xf numFmtId="0" fontId="13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6" fillId="11" borderId="6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/>
    </xf>
    <xf numFmtId="2" fontId="13" fillId="0" borderId="2" xfId="0" applyNumberFormat="1" applyFont="1" applyBorder="1" applyAlignment="1">
      <alignment horizontal="right"/>
    </xf>
    <xf numFmtId="1" fontId="13" fillId="0" borderId="6" xfId="0" quotePrefix="1" applyNumberFormat="1" applyFont="1" applyBorder="1" applyAlignment="1">
      <alignment horizontal="right"/>
    </xf>
    <xf numFmtId="1" fontId="13" fillId="0" borderId="6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1" fontId="13" fillId="0" borderId="2" xfId="0" quotePrefix="1" applyNumberFormat="1" applyFont="1" applyBorder="1" applyAlignment="1">
      <alignment horizontal="right"/>
    </xf>
    <xf numFmtId="0" fontId="13" fillId="0" borderId="2" xfId="0" quotePrefix="1" applyFont="1" applyBorder="1" applyAlignment="1">
      <alignment horizontal="right"/>
    </xf>
    <xf numFmtId="1" fontId="13" fillId="0" borderId="2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2" fontId="7" fillId="0" borderId="17" xfId="0" applyNumberFormat="1" applyFont="1" applyFill="1" applyBorder="1" applyAlignment="1">
      <alignment vertical="center"/>
    </xf>
    <xf numFmtId="2" fontId="8" fillId="0" borderId="2" xfId="2" applyNumberFormat="1" applyFont="1" applyFill="1" applyBorder="1" applyAlignment="1" applyProtection="1">
      <alignment vertical="center"/>
    </xf>
    <xf numFmtId="2" fontId="7" fillId="0" borderId="2" xfId="0" applyNumberFormat="1" applyFont="1" applyFill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right" vertical="center"/>
    </xf>
    <xf numFmtId="2" fontId="7" fillId="0" borderId="17" xfId="1" applyNumberFormat="1" applyFont="1" applyFill="1" applyBorder="1" applyAlignment="1">
      <alignment vertical="center"/>
    </xf>
    <xf numFmtId="2" fontId="7" fillId="0" borderId="19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6" fillId="11" borderId="82" xfId="0" applyFont="1" applyFill="1" applyBorder="1" applyAlignment="1">
      <alignment vertical="center"/>
    </xf>
    <xf numFmtId="0" fontId="6" fillId="11" borderId="35" xfId="0" applyFont="1" applyFill="1" applyBorder="1" applyAlignment="1">
      <alignment vertical="center"/>
    </xf>
    <xf numFmtId="0" fontId="6" fillId="11" borderId="24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4" fontId="133" fillId="0" borderId="75" xfId="15" applyNumberFormat="1" applyFont="1" applyBorder="1"/>
    <xf numFmtId="4" fontId="0" fillId="0" borderId="0" xfId="0" applyNumberFormat="1" applyAlignment="1"/>
    <xf numFmtId="0" fontId="0" fillId="11" borderId="2" xfId="0" applyFill="1" applyBorder="1" applyAlignment="1"/>
    <xf numFmtId="2" fontId="7" fillId="0" borderId="6" xfId="0" applyNumberFormat="1" applyFont="1" applyBorder="1" applyAlignment="1">
      <alignment horizontal="right" wrapText="1"/>
    </xf>
    <xf numFmtId="4" fontId="133" fillId="0" borderId="74" xfId="15" applyNumberFormat="1" applyFont="1" applyBorder="1" applyAlignment="1">
      <alignment horizontal="center"/>
    </xf>
    <xf numFmtId="0" fontId="7" fillId="1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11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0" borderId="35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2" fontId="8" fillId="0" borderId="2" xfId="13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0" xfId="0" applyFont="1" applyBorder="1"/>
    <xf numFmtId="168" fontId="7" fillId="0" borderId="0" xfId="2" applyNumberFormat="1" applyFont="1" applyFill="1" applyBorder="1" applyAlignment="1" applyProtection="1">
      <alignment horizontal="right"/>
    </xf>
    <xf numFmtId="1" fontId="7" fillId="0" borderId="0" xfId="0" applyNumberFormat="1" applyFont="1" applyFill="1" applyBorder="1"/>
    <xf numFmtId="0" fontId="7" fillId="0" borderId="0" xfId="0" applyFont="1" applyBorder="1"/>
    <xf numFmtId="0" fontId="133" fillId="0" borderId="0" xfId="0" applyFont="1" applyBorder="1" applyAlignment="1"/>
    <xf numFmtId="0" fontId="133" fillId="0" borderId="0" xfId="0" applyFont="1" applyAlignment="1"/>
    <xf numFmtId="0" fontId="132" fillId="11" borderId="12" xfId="0" applyFont="1" applyFill="1" applyBorder="1" applyAlignment="1">
      <alignment horizontal="center"/>
    </xf>
    <xf numFmtId="0" fontId="132" fillId="11" borderId="3" xfId="0" applyFont="1" applyFill="1" applyBorder="1" applyAlignment="1">
      <alignment horizontal="center"/>
    </xf>
    <xf numFmtId="0" fontId="132" fillId="11" borderId="18" xfId="0" applyFont="1" applyFill="1" applyBorder="1" applyAlignment="1">
      <alignment horizontal="center"/>
    </xf>
    <xf numFmtId="0" fontId="132" fillId="10" borderId="61" xfId="0" applyFont="1" applyFill="1" applyBorder="1" applyAlignment="1">
      <alignment horizontal="left" wrapText="1"/>
    </xf>
    <xf numFmtId="0" fontId="133" fillId="0" borderId="13" xfId="0" applyFont="1" applyBorder="1" applyAlignment="1">
      <alignment horizontal="center"/>
    </xf>
    <xf numFmtId="0" fontId="133" fillId="0" borderId="2" xfId="0" applyFont="1" applyBorder="1" applyAlignment="1">
      <alignment horizontal="left"/>
    </xf>
    <xf numFmtId="0" fontId="133" fillId="0" borderId="6" xfId="0" applyFont="1" applyBorder="1" applyAlignment="1"/>
    <xf numFmtId="0" fontId="133" fillId="0" borderId="24" xfId="0" applyFont="1" applyBorder="1" applyAlignment="1"/>
    <xf numFmtId="0" fontId="133" fillId="20" borderId="2" xfId="0" applyFont="1" applyFill="1" applyBorder="1" applyAlignment="1">
      <alignment horizontal="left"/>
    </xf>
    <xf numFmtId="0" fontId="133" fillId="20" borderId="6" xfId="0" applyFont="1" applyFill="1" applyBorder="1" applyAlignment="1"/>
    <xf numFmtId="0" fontId="133" fillId="20" borderId="24" xfId="0" applyFont="1" applyFill="1" applyBorder="1" applyAlignment="1"/>
    <xf numFmtId="0" fontId="133" fillId="20" borderId="0" xfId="0" applyFont="1" applyFill="1" applyAlignment="1"/>
    <xf numFmtId="0" fontId="133" fillId="0" borderId="6" xfId="0" applyFont="1" applyFill="1" applyBorder="1" applyAlignment="1"/>
    <xf numFmtId="0" fontId="133" fillId="0" borderId="16" xfId="0" applyFont="1" applyBorder="1" applyAlignment="1">
      <alignment horizontal="center"/>
    </xf>
    <xf numFmtId="0" fontId="133" fillId="0" borderId="17" xfId="0" applyFont="1" applyBorder="1" applyAlignment="1">
      <alignment horizontal="left"/>
    </xf>
    <xf numFmtId="0" fontId="133" fillId="0" borderId="19" xfId="0" applyFont="1" applyBorder="1" applyAlignment="1"/>
    <xf numFmtId="0" fontId="133" fillId="0" borderId="20" xfId="0" applyFont="1" applyBorder="1" applyAlignment="1">
      <alignment horizontal="center"/>
    </xf>
    <xf numFmtId="0" fontId="133" fillId="20" borderId="20" xfId="0" applyFont="1" applyFill="1" applyBorder="1" applyAlignment="1">
      <alignment horizontal="left"/>
    </xf>
    <xf numFmtId="0" fontId="133" fillId="20" borderId="20" xfId="0" applyFont="1" applyFill="1" applyBorder="1" applyAlignment="1"/>
    <xf numFmtId="0" fontId="133" fillId="0" borderId="2" xfId="0" applyFont="1" applyBorder="1" applyAlignment="1">
      <alignment horizontal="center"/>
    </xf>
    <xf numFmtId="0" fontId="133" fillId="20" borderId="2" xfId="0" applyFont="1" applyFill="1" applyBorder="1" applyAlignment="1"/>
    <xf numFmtId="0" fontId="7" fillId="0" borderId="13" xfId="0" applyFont="1" applyBorder="1" applyAlignment="1">
      <alignment horizontal="center" wrapText="1"/>
    </xf>
    <xf numFmtId="9" fontId="8" fillId="0" borderId="0" xfId="13" applyFont="1" applyAlignment="1"/>
    <xf numFmtId="0" fontId="7" fillId="0" borderId="13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/>
    <xf numFmtId="2" fontId="7" fillId="0" borderId="6" xfId="0" applyNumberFormat="1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wrapText="1"/>
    </xf>
    <xf numFmtId="2" fontId="7" fillId="0" borderId="6" xfId="0" applyNumberFormat="1" applyFont="1" applyFill="1" applyBorder="1" applyAlignment="1">
      <alignment horizontal="right" wrapText="1"/>
    </xf>
    <xf numFmtId="2" fontId="7" fillId="0" borderId="2" xfId="13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2" fontId="7" fillId="0" borderId="17" xfId="0" applyNumberFormat="1" applyFont="1" applyFill="1" applyBorder="1" applyAlignment="1">
      <alignment wrapText="1"/>
    </xf>
    <xf numFmtId="2" fontId="7" fillId="0" borderId="17" xfId="0" applyNumberFormat="1" applyFont="1" applyFill="1" applyBorder="1" applyAlignment="1">
      <alignment horizontal="right" wrapText="1"/>
    </xf>
    <xf numFmtId="2" fontId="7" fillId="0" borderId="19" xfId="0" applyNumberFormat="1" applyFont="1" applyFill="1" applyBorder="1" applyAlignment="1">
      <alignment horizontal="right" wrapText="1"/>
    </xf>
    <xf numFmtId="2" fontId="7" fillId="0" borderId="0" xfId="0" applyNumberFormat="1" applyFont="1" applyAlignment="1"/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/>
    <xf numFmtId="1" fontId="8" fillId="0" borderId="0" xfId="0" applyNumberFormat="1" applyFont="1" applyFill="1" applyAlignment="1"/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/>
    </xf>
    <xf numFmtId="9" fontId="8" fillId="0" borderId="0" xfId="0" applyNumberFormat="1" applyFont="1" applyAlignment="1"/>
    <xf numFmtId="0" fontId="135" fillId="0" borderId="0" xfId="0" applyFont="1" applyAlignment="1">
      <alignment horizontal="right"/>
    </xf>
    <xf numFmtId="0" fontId="136" fillId="0" borderId="49" xfId="0" applyFont="1" applyBorder="1"/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 wrapText="1"/>
    </xf>
    <xf numFmtId="2" fontId="8" fillId="0" borderId="6" xfId="0" applyNumberFormat="1" applyFont="1" applyFill="1" applyBorder="1" applyAlignment="1">
      <alignment vertical="center"/>
    </xf>
    <xf numFmtId="2" fontId="8" fillId="0" borderId="38" xfId="0" applyNumberFormat="1" applyFont="1" applyFill="1" applyBorder="1" applyAlignment="1">
      <alignment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vertical="center"/>
    </xf>
    <xf numFmtId="2" fontId="8" fillId="0" borderId="39" xfId="0" applyNumberFormat="1" applyFont="1" applyFill="1" applyBorder="1" applyAlignment="1">
      <alignment vertical="center"/>
    </xf>
    <xf numFmtId="2" fontId="11" fillId="0" borderId="3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/>
    </xf>
    <xf numFmtId="2" fontId="133" fillId="0" borderId="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1" fontId="7" fillId="0" borderId="19" xfId="0" applyNumberFormat="1" applyFont="1" applyFill="1" applyBorder="1" applyAlignment="1">
      <alignment horizontal="right" vertical="center"/>
    </xf>
    <xf numFmtId="1" fontId="7" fillId="0" borderId="16" xfId="0" applyNumberFormat="1" applyFont="1" applyFill="1" applyBorder="1" applyAlignment="1">
      <alignment horizontal="right" vertical="center"/>
    </xf>
    <xf numFmtId="1" fontId="133" fillId="0" borderId="0" xfId="0" applyNumberFormat="1" applyFont="1" applyAlignment="1">
      <alignment horizontal="center"/>
    </xf>
    <xf numFmtId="0" fontId="133" fillId="0" borderId="0" xfId="0" applyFont="1"/>
    <xf numFmtId="1" fontId="133" fillId="0" borderId="0" xfId="0" applyNumberFormat="1" applyFont="1"/>
    <xf numFmtId="0" fontId="133" fillId="0" borderId="0" xfId="0" applyFont="1" applyAlignment="1">
      <alignment horizontal="center"/>
    </xf>
    <xf numFmtId="1" fontId="137" fillId="0" borderId="0" xfId="0" applyNumberFormat="1" applyFont="1" applyAlignment="1">
      <alignment horizontal="center"/>
    </xf>
    <xf numFmtId="1" fontId="7" fillId="0" borderId="46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 vertical="top"/>
    </xf>
    <xf numFmtId="0" fontId="7" fillId="0" borderId="49" xfId="0" applyFont="1" applyBorder="1" applyAlignment="1">
      <alignment horizontal="center"/>
    </xf>
    <xf numFmtId="0" fontId="7" fillId="0" borderId="41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7" fillId="0" borderId="48" xfId="0" applyFont="1" applyBorder="1" applyAlignment="1">
      <alignment horizontal="right"/>
    </xf>
    <xf numFmtId="0" fontId="7" fillId="0" borderId="49" xfId="0" applyFont="1" applyBorder="1"/>
    <xf numFmtId="168" fontId="8" fillId="0" borderId="49" xfId="2" applyNumberFormat="1" applyFont="1" applyFill="1" applyBorder="1" applyAlignment="1" applyProtection="1">
      <alignment horizontal="right"/>
    </xf>
    <xf numFmtId="0" fontId="8" fillId="0" borderId="3" xfId="0" applyFont="1" applyFill="1" applyBorder="1"/>
    <xf numFmtId="0" fontId="8" fillId="0" borderId="3" xfId="0" applyFont="1" applyBorder="1" applyAlignment="1">
      <alignment horizontal="right"/>
    </xf>
    <xf numFmtId="168" fontId="8" fillId="0" borderId="3" xfId="2" applyNumberFormat="1" applyFont="1" applyBorder="1" applyAlignment="1" applyProtection="1">
      <alignment horizontal="right"/>
    </xf>
    <xf numFmtId="0" fontId="8" fillId="0" borderId="3" xfId="0" applyFont="1" applyBorder="1"/>
    <xf numFmtId="0" fontId="8" fillId="0" borderId="20" xfId="0" applyFont="1" applyBorder="1"/>
    <xf numFmtId="0" fontId="8" fillId="0" borderId="49" xfId="0" applyFont="1" applyBorder="1"/>
    <xf numFmtId="0" fontId="8" fillId="0" borderId="18" xfId="0" applyFont="1" applyFill="1" applyBorder="1"/>
    <xf numFmtId="0" fontId="7" fillId="0" borderId="13" xfId="0" applyFont="1" applyBorder="1" applyAlignment="1">
      <alignment horizontal="right"/>
    </xf>
    <xf numFmtId="168" fontId="8" fillId="0" borderId="2" xfId="2" applyNumberFormat="1" applyFont="1" applyFill="1" applyBorder="1" applyAlignment="1" applyProtection="1">
      <alignment horizontal="right"/>
    </xf>
    <xf numFmtId="0" fontId="8" fillId="0" borderId="2" xfId="0" applyFont="1" applyBorder="1" applyAlignment="1">
      <alignment horizontal="right"/>
    </xf>
    <xf numFmtId="168" fontId="8" fillId="0" borderId="2" xfId="2" applyNumberFormat="1" applyFont="1" applyBorder="1" applyAlignment="1" applyProtection="1">
      <alignment horizontal="right"/>
    </xf>
    <xf numFmtId="0" fontId="8" fillId="0" borderId="6" xfId="0" applyFont="1" applyFill="1" applyBorder="1"/>
    <xf numFmtId="0" fontId="7" fillId="0" borderId="38" xfId="0" applyFont="1" applyFill="1" applyBorder="1" applyAlignment="1">
      <alignment horizontal="right"/>
    </xf>
    <xf numFmtId="0" fontId="136" fillId="0" borderId="20" xfId="0" applyFont="1" applyBorder="1"/>
    <xf numFmtId="168" fontId="8" fillId="0" borderId="17" xfId="2" applyNumberFormat="1" applyFont="1" applyFill="1" applyBorder="1" applyAlignment="1" applyProtection="1">
      <alignment horizontal="right"/>
    </xf>
    <xf numFmtId="0" fontId="8" fillId="0" borderId="17" xfId="0" applyFont="1" applyFill="1" applyBorder="1"/>
    <xf numFmtId="0" fontId="8" fillId="0" borderId="17" xfId="0" applyFont="1" applyFill="1" applyBorder="1" applyAlignment="1">
      <alignment horizontal="right"/>
    </xf>
    <xf numFmtId="168" fontId="8" fillId="0" borderId="17" xfId="2" applyNumberFormat="1" applyFont="1" applyBorder="1" applyAlignment="1" applyProtection="1">
      <alignment horizontal="right"/>
    </xf>
    <xf numFmtId="0" fontId="8" fillId="0" borderId="19" xfId="0" applyFont="1" applyFill="1" applyBorder="1"/>
    <xf numFmtId="168" fontId="7" fillId="0" borderId="20" xfId="2" applyNumberFormat="1" applyFont="1" applyFill="1" applyBorder="1" applyAlignment="1" applyProtection="1">
      <alignment horizontal="right"/>
    </xf>
    <xf numFmtId="0" fontId="7" fillId="0" borderId="20" xfId="0" applyFont="1" applyFill="1" applyBorder="1"/>
    <xf numFmtId="0" fontId="7" fillId="0" borderId="20" xfId="0" applyFont="1" applyBorder="1"/>
    <xf numFmtId="0" fontId="7" fillId="0" borderId="51" xfId="0" applyFont="1" applyBorder="1"/>
    <xf numFmtId="0" fontId="7" fillId="0" borderId="39" xfId="0" applyFont="1" applyFill="1" applyBorder="1"/>
    <xf numFmtId="0" fontId="136" fillId="0" borderId="2" xfId="0" applyFont="1" applyBorder="1"/>
    <xf numFmtId="168" fontId="138" fillId="0" borderId="17" xfId="2" applyNumberFormat="1" applyFont="1" applyBorder="1" applyAlignment="1" applyProtection="1">
      <alignment horizontal="right"/>
    </xf>
    <xf numFmtId="0" fontId="8" fillId="0" borderId="52" xfId="0" applyFont="1" applyBorder="1"/>
    <xf numFmtId="0" fontId="8" fillId="0" borderId="16" xfId="0" applyFont="1" applyBorder="1"/>
    <xf numFmtId="0" fontId="136" fillId="0" borderId="17" xfId="0" applyFont="1" applyBorder="1" applyAlignment="1">
      <alignment horizontal="center"/>
    </xf>
    <xf numFmtId="168" fontId="7" fillId="8" borderId="52" xfId="0" applyNumberFormat="1" applyFont="1" applyFill="1" applyBorder="1"/>
    <xf numFmtId="168" fontId="7" fillId="0" borderId="52" xfId="0" applyNumberFormat="1" applyFont="1" applyBorder="1"/>
    <xf numFmtId="168" fontId="7" fillId="8" borderId="17" xfId="0" applyNumberFormat="1" applyFont="1" applyFill="1" applyBorder="1"/>
    <xf numFmtId="168" fontId="7" fillId="8" borderId="19" xfId="0" applyNumberFormat="1" applyFont="1" applyFill="1" applyBorder="1"/>
    <xf numFmtId="0" fontId="8" fillId="0" borderId="53" xfId="0" applyFont="1" applyBorder="1"/>
    <xf numFmtId="0" fontId="8" fillId="0" borderId="54" xfId="0" applyFont="1" applyFill="1" applyBorder="1"/>
    <xf numFmtId="0" fontId="8" fillId="0" borderId="55" xfId="0" applyFont="1" applyFill="1" applyBorder="1"/>
    <xf numFmtId="0" fontId="8" fillId="0" borderId="40" xfId="0" applyFont="1" applyBorder="1"/>
    <xf numFmtId="0" fontId="7" fillId="0" borderId="41" xfId="0" applyFont="1" applyBorder="1" applyAlignment="1">
      <alignment horizontal="center"/>
    </xf>
    <xf numFmtId="168" fontId="7" fillId="0" borderId="41" xfId="2" applyNumberFormat="1" applyFont="1" applyFill="1" applyBorder="1" applyAlignment="1" applyProtection="1">
      <alignment horizontal="right"/>
    </xf>
    <xf numFmtId="1" fontId="7" fillId="0" borderId="41" xfId="0" applyNumberFormat="1" applyFont="1" applyFill="1" applyBorder="1"/>
    <xf numFmtId="0" fontId="7" fillId="0" borderId="41" xfId="0" applyFont="1" applyBorder="1"/>
    <xf numFmtId="0" fontId="7" fillId="0" borderId="42" xfId="0" applyFont="1" applyFill="1" applyBorder="1"/>
    <xf numFmtId="0" fontId="7" fillId="0" borderId="0" xfId="0" applyFont="1" applyFill="1" applyBorder="1"/>
    <xf numFmtId="0" fontId="7" fillId="0" borderId="2" xfId="0" applyFont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2" fontId="8" fillId="0" borderId="2" xfId="0" applyNumberFormat="1" applyFont="1" applyBorder="1" applyAlignment="1"/>
    <xf numFmtId="9" fontId="8" fillId="0" borderId="2" xfId="0" applyNumberFormat="1" applyFont="1" applyBorder="1" applyAlignment="1"/>
    <xf numFmtId="2" fontId="7" fillId="0" borderId="2" xfId="0" applyNumberFormat="1" applyFont="1" applyBorder="1" applyAlignment="1"/>
    <xf numFmtId="10" fontId="8" fillId="0" borderId="2" xfId="13" applyNumberFormat="1" applyFont="1" applyBorder="1" applyAlignment="1"/>
    <xf numFmtId="0" fontId="13" fillId="0" borderId="13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2" fontId="13" fillId="11" borderId="2" xfId="0" applyNumberFormat="1" applyFont="1" applyFill="1" applyBorder="1" applyAlignment="1">
      <alignment vertical="center" wrapText="1"/>
    </xf>
    <xf numFmtId="2" fontId="13" fillId="11" borderId="2" xfId="0" applyNumberFormat="1" applyFont="1" applyFill="1" applyBorder="1" applyAlignment="1">
      <alignment vertical="center"/>
    </xf>
    <xf numFmtId="2" fontId="13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2" fontId="13" fillId="0" borderId="2" xfId="0" applyNumberFormat="1" applyFont="1" applyFill="1" applyBorder="1" applyAlignment="1">
      <alignment vertical="center" wrapText="1"/>
    </xf>
    <xf numFmtId="10" fontId="13" fillId="0" borderId="2" xfId="0" applyNumberFormat="1" applyFont="1" applyBorder="1" applyAlignment="1">
      <alignment vertical="center"/>
    </xf>
    <xf numFmtId="10" fontId="13" fillId="0" borderId="2" xfId="13" applyNumberFormat="1" applyFont="1" applyBorder="1" applyAlignment="1">
      <alignment vertical="center"/>
    </xf>
    <xf numFmtId="10" fontId="13" fillId="0" borderId="2" xfId="13" applyNumberFormat="1" applyFont="1" applyFill="1" applyBorder="1" applyAlignment="1">
      <alignment horizontal="right" vertical="center"/>
    </xf>
    <xf numFmtId="10" fontId="13" fillId="0" borderId="6" xfId="13" applyNumberFormat="1" applyFont="1" applyFill="1" applyBorder="1" applyAlignment="1">
      <alignment horizontal="right" vertical="center"/>
    </xf>
    <xf numFmtId="4" fontId="13" fillId="0" borderId="0" xfId="0" applyNumberFormat="1" applyFont="1" applyAlignment="1"/>
    <xf numFmtId="0" fontId="133" fillId="12" borderId="0" xfId="0" applyFont="1" applyFill="1" applyAlignment="1"/>
    <xf numFmtId="0" fontId="133" fillId="0" borderId="12" xfId="0" applyFont="1" applyBorder="1" applyAlignment="1">
      <alignment horizontal="center"/>
    </xf>
    <xf numFmtId="0" fontId="133" fillId="0" borderId="18" xfId="0" applyFont="1" applyBorder="1" applyAlignment="1"/>
    <xf numFmtId="2" fontId="133" fillId="0" borderId="63" xfId="0" applyNumberFormat="1" applyFont="1" applyBorder="1" applyAlignment="1">
      <alignment horizontal="center"/>
    </xf>
    <xf numFmtId="0" fontId="133" fillId="0" borderId="3" xfId="0" applyFont="1" applyBorder="1" applyAlignment="1"/>
    <xf numFmtId="2" fontId="133" fillId="0" borderId="3" xfId="0" applyNumberFormat="1" applyFont="1" applyBorder="1" applyAlignment="1">
      <alignment horizontal="center"/>
    </xf>
    <xf numFmtId="0" fontId="133" fillId="0" borderId="64" xfId="0" applyFont="1" applyBorder="1" applyAlignment="1"/>
    <xf numFmtId="2" fontId="133" fillId="0" borderId="12" xfId="0" applyNumberFormat="1" applyFont="1" applyBorder="1" applyAlignment="1">
      <alignment horizontal="center"/>
    </xf>
    <xf numFmtId="2" fontId="133" fillId="0" borderId="2" xfId="0" applyNumberFormat="1" applyFont="1" applyBorder="1" applyAlignment="1">
      <alignment horizontal="center"/>
    </xf>
    <xf numFmtId="0" fontId="133" fillId="0" borderId="35" xfId="0" applyFont="1" applyBorder="1" applyAlignment="1"/>
    <xf numFmtId="0" fontId="133" fillId="0" borderId="6" xfId="0" applyFont="1" applyBorder="1" applyAlignment="1">
      <alignment wrapText="1"/>
    </xf>
    <xf numFmtId="2" fontId="133" fillId="0" borderId="24" xfId="0" applyNumberFormat="1" applyFont="1" applyBorder="1" applyAlignment="1">
      <alignment horizontal="center"/>
    </xf>
    <xf numFmtId="0" fontId="133" fillId="0" borderId="2" xfId="0" applyFont="1" applyBorder="1" applyAlignment="1"/>
    <xf numFmtId="0" fontId="133" fillId="0" borderId="22" xfId="0" applyFont="1" applyBorder="1" applyAlignment="1"/>
    <xf numFmtId="2" fontId="133" fillId="0" borderId="13" xfId="0" applyNumberFormat="1" applyFont="1" applyBorder="1" applyAlignment="1">
      <alignment horizontal="center"/>
    </xf>
    <xf numFmtId="0" fontId="133" fillId="0" borderId="36" xfId="0" applyFont="1" applyBorder="1" applyAlignment="1"/>
    <xf numFmtId="0" fontId="133" fillId="0" borderId="25" xfId="0" applyFont="1" applyBorder="1" applyAlignment="1">
      <alignment horizontal="center"/>
    </xf>
    <xf numFmtId="0" fontId="133" fillId="0" borderId="28" xfId="0" applyFont="1" applyBorder="1" applyAlignment="1">
      <alignment wrapText="1"/>
    </xf>
    <xf numFmtId="2" fontId="133" fillId="0" borderId="62" xfId="0" applyNumberFormat="1" applyFont="1" applyBorder="1" applyAlignment="1">
      <alignment horizontal="center"/>
    </xf>
    <xf numFmtId="2" fontId="133" fillId="0" borderId="56" xfId="0" applyNumberFormat="1" applyFont="1" applyBorder="1" applyAlignment="1">
      <alignment horizontal="center"/>
    </xf>
    <xf numFmtId="0" fontId="133" fillId="0" borderId="45" xfId="0" applyFont="1" applyBorder="1" applyAlignment="1"/>
    <xf numFmtId="2" fontId="133" fillId="0" borderId="25" xfId="0" applyNumberFormat="1" applyFont="1" applyBorder="1" applyAlignment="1">
      <alignment horizontal="center"/>
    </xf>
    <xf numFmtId="0" fontId="133" fillId="0" borderId="56" xfId="0" applyFont="1" applyBorder="1" applyAlignment="1"/>
    <xf numFmtId="0" fontId="133" fillId="0" borderId="28" xfId="0" applyFont="1" applyBorder="1" applyAlignment="1"/>
    <xf numFmtId="0" fontId="133" fillId="0" borderId="57" xfId="0" applyFont="1" applyBorder="1" applyAlignment="1"/>
    <xf numFmtId="2" fontId="133" fillId="0" borderId="62" xfId="0" applyNumberFormat="1" applyFont="1" applyBorder="1" applyAlignment="1">
      <alignment horizontal="center" vertical="center"/>
    </xf>
    <xf numFmtId="0" fontId="133" fillId="0" borderId="56" xfId="0" applyFont="1" applyBorder="1" applyAlignment="1">
      <alignment horizontal="center" vertical="center"/>
    </xf>
    <xf numFmtId="2" fontId="133" fillId="0" borderId="56" xfId="0" applyNumberFormat="1" applyFont="1" applyBorder="1" applyAlignment="1">
      <alignment horizontal="center" vertical="center"/>
    </xf>
    <xf numFmtId="2" fontId="133" fillId="0" borderId="43" xfId="0" applyNumberFormat="1" applyFont="1" applyBorder="1" applyAlignment="1">
      <alignment horizontal="center"/>
    </xf>
    <xf numFmtId="2" fontId="133" fillId="0" borderId="17" xfId="0" applyNumberFormat="1" applyFont="1" applyBorder="1" applyAlignment="1">
      <alignment horizontal="center"/>
    </xf>
    <xf numFmtId="2" fontId="133" fillId="0" borderId="17" xfId="0" applyNumberFormat="1" applyFont="1" applyBorder="1" applyAlignment="1">
      <alignment horizontal="center" vertical="center"/>
    </xf>
    <xf numFmtId="0" fontId="133" fillId="0" borderId="27" xfId="0" applyFont="1" applyBorder="1" applyAlignment="1"/>
    <xf numFmtId="2" fontId="133" fillId="0" borderId="16" xfId="0" applyNumberFormat="1" applyFont="1" applyBorder="1" applyAlignment="1">
      <alignment horizontal="center"/>
    </xf>
    <xf numFmtId="0" fontId="133" fillId="0" borderId="17" xfId="0" applyFont="1" applyBorder="1" applyAlignment="1"/>
    <xf numFmtId="0" fontId="133" fillId="0" borderId="37" xfId="0" applyFont="1" applyBorder="1" applyAlignment="1"/>
    <xf numFmtId="2" fontId="133" fillId="0" borderId="2" xfId="0" applyNumberFormat="1" applyFont="1" applyFill="1" applyBorder="1" applyAlignment="1">
      <alignment horizontal="center"/>
    </xf>
    <xf numFmtId="2" fontId="133" fillId="0" borderId="2" xfId="0" applyNumberFormat="1" applyFont="1" applyFill="1" applyBorder="1" applyAlignment="1">
      <alignment horizontal="right" vertical="center"/>
    </xf>
    <xf numFmtId="2" fontId="133" fillId="0" borderId="6" xfId="0" applyNumberFormat="1" applyFont="1" applyFill="1" applyBorder="1" applyAlignment="1">
      <alignment horizontal="right" vertical="center"/>
    </xf>
    <xf numFmtId="0" fontId="133" fillId="0" borderId="2" xfId="0" applyFont="1" applyFill="1" applyBorder="1" applyAlignment="1">
      <alignment horizontal="center"/>
    </xf>
    <xf numFmtId="0" fontId="133" fillId="0" borderId="2" xfId="0" applyFont="1" applyBorder="1" applyAlignment="1">
      <alignment wrapText="1"/>
    </xf>
    <xf numFmtId="0" fontId="133" fillId="0" borderId="2" xfId="0" applyFont="1" applyFill="1" applyBorder="1" applyAlignment="1">
      <alignment horizontal="center" vertical="center"/>
    </xf>
    <xf numFmtId="2" fontId="133" fillId="0" borderId="2" xfId="0" applyNumberFormat="1" applyFont="1" applyFill="1" applyBorder="1" applyAlignment="1">
      <alignment horizontal="center" vertical="center"/>
    </xf>
    <xf numFmtId="0" fontId="132" fillId="0" borderId="13" xfId="0" applyFont="1" applyBorder="1" applyAlignment="1">
      <alignment horizontal="center"/>
    </xf>
    <xf numFmtId="0" fontId="132" fillId="0" borderId="2" xfId="0" applyFont="1" applyBorder="1" applyAlignment="1"/>
    <xf numFmtId="0" fontId="132" fillId="0" borderId="2" xfId="0" applyFont="1" applyFill="1" applyBorder="1" applyAlignment="1">
      <alignment horizontal="center"/>
    </xf>
    <xf numFmtId="2" fontId="132" fillId="0" borderId="2" xfId="0" applyNumberFormat="1" applyFont="1" applyFill="1" applyBorder="1" applyAlignment="1">
      <alignment horizontal="center"/>
    </xf>
    <xf numFmtId="2" fontId="132" fillId="0" borderId="2" xfId="0" applyNumberFormat="1" applyFont="1" applyFill="1" applyBorder="1" applyAlignment="1">
      <alignment horizontal="right"/>
    </xf>
    <xf numFmtId="2" fontId="132" fillId="0" borderId="6" xfId="0" applyNumberFormat="1" applyFont="1" applyFill="1" applyBorder="1" applyAlignment="1">
      <alignment horizontal="right"/>
    </xf>
    <xf numFmtId="10" fontId="132" fillId="0" borderId="2" xfId="13" applyNumberFormat="1" applyFont="1" applyFill="1" applyBorder="1" applyAlignment="1">
      <alignment horizontal="center" vertical="center"/>
    </xf>
    <xf numFmtId="0" fontId="132" fillId="0" borderId="13" xfId="0" applyFont="1" applyFill="1" applyBorder="1" applyAlignment="1">
      <alignment horizontal="center"/>
    </xf>
    <xf numFmtId="0" fontId="133" fillId="0" borderId="2" xfId="0" applyFont="1" applyFill="1" applyBorder="1" applyAlignment="1"/>
    <xf numFmtId="2" fontId="133" fillId="0" borderId="2" xfId="0" applyNumberFormat="1" applyFont="1" applyFill="1" applyBorder="1" applyAlignment="1">
      <alignment horizontal="right"/>
    </xf>
    <xf numFmtId="0" fontId="132" fillId="0" borderId="16" xfId="0" applyFont="1" applyFill="1" applyBorder="1" applyAlignment="1">
      <alignment horizontal="center"/>
    </xf>
    <xf numFmtId="0" fontId="132" fillId="0" borderId="17" xfId="0" applyFont="1" applyBorder="1" applyAlignment="1"/>
    <xf numFmtId="2" fontId="132" fillId="0" borderId="17" xfId="0" applyNumberFormat="1" applyFont="1" applyFill="1" applyBorder="1" applyAlignment="1">
      <alignment horizontal="center"/>
    </xf>
    <xf numFmtId="2" fontId="133" fillId="0" borderId="17" xfId="0" applyNumberFormat="1" applyFont="1" applyFill="1" applyBorder="1" applyAlignment="1"/>
    <xf numFmtId="2" fontId="132" fillId="0" borderId="17" xfId="0" applyNumberFormat="1" applyFont="1" applyFill="1" applyBorder="1" applyAlignment="1">
      <alignment horizontal="right"/>
    </xf>
    <xf numFmtId="2" fontId="132" fillId="0" borderId="19" xfId="0" applyNumberFormat="1" applyFont="1" applyFill="1" applyBorder="1" applyAlignment="1">
      <alignment horizontal="right"/>
    </xf>
    <xf numFmtId="0" fontId="133" fillId="0" borderId="0" xfId="0" applyFont="1" applyFill="1" applyBorder="1" applyAlignment="1">
      <alignment horizontal="center"/>
    </xf>
    <xf numFmtId="10" fontId="133" fillId="0" borderId="0" xfId="13" applyNumberFormat="1" applyFont="1" applyAlignment="1"/>
    <xf numFmtId="2" fontId="133" fillId="0" borderId="0" xfId="0" applyNumberFormat="1" applyFont="1" applyAlignment="1"/>
    <xf numFmtId="9" fontId="133" fillId="0" borderId="0" xfId="13" applyFont="1" applyAlignment="1"/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2" fontId="13" fillId="0" borderId="24" xfId="0" applyNumberFormat="1" applyFont="1" applyFill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right" vertical="center"/>
    </xf>
    <xf numFmtId="2" fontId="13" fillId="0" borderId="19" xfId="0" applyNumberFormat="1" applyFont="1" applyFill="1" applyBorder="1" applyAlignment="1">
      <alignment horizontal="right" vertical="center"/>
    </xf>
    <xf numFmtId="2" fontId="13" fillId="0" borderId="43" xfId="0" applyNumberFormat="1" applyFont="1" applyFill="1" applyBorder="1" applyAlignment="1">
      <alignment horizontal="right" vertical="center"/>
    </xf>
    <xf numFmtId="10" fontId="13" fillId="0" borderId="17" xfId="0" applyNumberFormat="1" applyFont="1" applyBorder="1" applyAlignment="1"/>
    <xf numFmtId="10" fontId="13" fillId="0" borderId="17" xfId="0" applyNumberFormat="1" applyFont="1" applyFill="1" applyBorder="1" applyAlignment="1">
      <alignment horizontal="right"/>
    </xf>
    <xf numFmtId="0" fontId="13" fillId="0" borderId="17" xfId="0" applyFont="1" applyBorder="1" applyAlignment="1">
      <alignment horizontal="right"/>
    </xf>
    <xf numFmtId="10" fontId="13" fillId="0" borderId="17" xfId="0" applyNumberFormat="1" applyFont="1" applyBorder="1" applyAlignment="1">
      <alignment horizontal="right"/>
    </xf>
    <xf numFmtId="10" fontId="13" fillId="0" borderId="19" xfId="0" applyNumberFormat="1" applyFont="1" applyBorder="1" applyAlignment="1">
      <alignment horizontal="right"/>
    </xf>
    <xf numFmtId="0" fontId="13" fillId="0" borderId="2" xfId="0" applyFont="1" applyBorder="1" applyAlignment="1">
      <alignment vertical="center"/>
    </xf>
    <xf numFmtId="2" fontId="13" fillId="0" borderId="2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2" fontId="6" fillId="0" borderId="20" xfId="0" applyNumberFormat="1" applyFont="1" applyBorder="1" applyAlignment="1"/>
    <xf numFmtId="2" fontId="6" fillId="0" borderId="44" xfId="0" applyNumberFormat="1" applyFont="1" applyBorder="1" applyAlignment="1"/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2" fontId="6" fillId="5" borderId="17" xfId="0" applyNumberFormat="1" applyFont="1" applyFill="1" applyBorder="1" applyAlignment="1"/>
    <xf numFmtId="2" fontId="6" fillId="5" borderId="27" xfId="0" applyNumberFormat="1" applyFont="1" applyFill="1" applyBorder="1" applyAlignment="1"/>
    <xf numFmtId="2" fontId="13" fillId="0" borderId="67" xfId="0" applyNumberFormat="1" applyFont="1" applyBorder="1" applyAlignment="1"/>
    <xf numFmtId="2" fontId="13" fillId="0" borderId="63" xfId="0" applyNumberFormat="1" applyFont="1" applyBorder="1" applyAlignment="1"/>
    <xf numFmtId="2" fontId="13" fillId="0" borderId="64" xfId="0" applyNumberFormat="1" applyFont="1" applyFill="1" applyBorder="1" applyAlignment="1"/>
    <xf numFmtId="2" fontId="13" fillId="0" borderId="36" xfId="0" applyNumberFormat="1" applyFont="1" applyBorder="1" applyAlignment="1"/>
    <xf numFmtId="2" fontId="13" fillId="0" borderId="26" xfId="0" applyNumberFormat="1" applyFont="1" applyBorder="1" applyAlignment="1"/>
    <xf numFmtId="2" fontId="13" fillId="0" borderId="26" xfId="0" applyNumberFormat="1" applyFont="1" applyBorder="1" applyAlignment="1">
      <alignment horizontal="right" vertical="center"/>
    </xf>
    <xf numFmtId="2" fontId="13" fillId="0" borderId="24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2" fontId="13" fillId="0" borderId="36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/>
    </xf>
    <xf numFmtId="2" fontId="13" fillId="0" borderId="58" xfId="0" applyNumberFormat="1" applyFont="1" applyBorder="1" applyAlignment="1">
      <alignment vertical="center" wrapText="1"/>
    </xf>
    <xf numFmtId="2" fontId="13" fillId="0" borderId="26" xfId="0" applyNumberFormat="1" applyFont="1" applyBorder="1" applyAlignment="1">
      <alignment vertical="center" wrapText="1"/>
    </xf>
    <xf numFmtId="2" fontId="13" fillId="0" borderId="24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vertical="center" wrapText="1"/>
    </xf>
    <xf numFmtId="2" fontId="6" fillId="0" borderId="26" xfId="0" applyNumberFormat="1" applyFont="1" applyBorder="1" applyAlignment="1"/>
    <xf numFmtId="2" fontId="13" fillId="0" borderId="26" xfId="0" applyNumberFormat="1" applyFont="1" applyFill="1" applyBorder="1" applyAlignment="1"/>
    <xf numFmtId="2" fontId="13" fillId="0" borderId="24" xfId="0" applyNumberFormat="1" applyFont="1" applyFill="1" applyBorder="1" applyAlignment="1"/>
    <xf numFmtId="2" fontId="13" fillId="0" borderId="22" xfId="0" applyNumberFormat="1" applyFont="1" applyFill="1" applyBorder="1" applyAlignment="1"/>
    <xf numFmtId="2" fontId="13" fillId="0" borderId="13" xfId="0" applyNumberFormat="1" applyFont="1" applyFill="1" applyBorder="1" applyAlignment="1"/>
    <xf numFmtId="10" fontId="8" fillId="0" borderId="17" xfId="0" applyNumberFormat="1" applyFont="1" applyFill="1" applyBorder="1" applyAlignment="1">
      <alignment horizontal="right"/>
    </xf>
    <xf numFmtId="10" fontId="8" fillId="0" borderId="19" xfId="13" applyNumberFormat="1" applyFont="1" applyFill="1" applyBorder="1" applyAlignment="1">
      <alignment horizontal="right" vertical="center"/>
    </xf>
    <xf numFmtId="10" fontId="132" fillId="0" borderId="2" xfId="13" applyNumberFormat="1" applyFont="1" applyFill="1" applyBorder="1" applyAlignment="1">
      <alignment horizontal="right" vertical="center"/>
    </xf>
    <xf numFmtId="10" fontId="132" fillId="0" borderId="2" xfId="13" applyNumberFormat="1" applyFont="1" applyFill="1" applyBorder="1" applyAlignment="1">
      <alignment horizontal="right"/>
    </xf>
    <xf numFmtId="10" fontId="132" fillId="0" borderId="6" xfId="13" applyNumberFormat="1" applyFont="1" applyFill="1" applyBorder="1" applyAlignment="1">
      <alignment horizontal="right" vertical="center"/>
    </xf>
    <xf numFmtId="0" fontId="133" fillId="0" borderId="87" xfId="0" applyFont="1" applyBorder="1" applyAlignment="1">
      <alignment horizontal="center"/>
    </xf>
    <xf numFmtId="0" fontId="133" fillId="0" borderId="52" xfId="0" applyFont="1" applyBorder="1" applyAlignment="1">
      <alignment horizontal="left"/>
    </xf>
    <xf numFmtId="0" fontId="133" fillId="0" borderId="88" xfId="0" applyFont="1" applyBorder="1" applyAlignment="1"/>
    <xf numFmtId="2" fontId="6" fillId="0" borderId="2" xfId="0" applyNumberFormat="1" applyFont="1" applyBorder="1" applyAlignment="1">
      <alignment horizontal="right" vertical="center"/>
    </xf>
    <xf numFmtId="172" fontId="8" fillId="0" borderId="0" xfId="0" applyNumberFormat="1" applyFont="1" applyAlignment="1"/>
    <xf numFmtId="0" fontId="7" fillId="25" borderId="2" xfId="0" applyFont="1" applyFill="1" applyBorder="1" applyAlignment="1">
      <alignment horizontal="center" vertical="center" wrapText="1"/>
    </xf>
    <xf numFmtId="0" fontId="7" fillId="25" borderId="6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5" borderId="6" xfId="0" applyFont="1" applyFill="1" applyBorder="1" applyAlignment="1">
      <alignment horizontal="center" vertical="center"/>
    </xf>
    <xf numFmtId="0" fontId="132" fillId="25" borderId="2" xfId="0" applyFont="1" applyFill="1" applyBorder="1" applyAlignment="1">
      <alignment horizontal="center" vertical="center"/>
    </xf>
    <xf numFmtId="0" fontId="132" fillId="25" borderId="6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 wrapText="1"/>
    </xf>
    <xf numFmtId="0" fontId="7" fillId="25" borderId="3" xfId="0" applyFont="1" applyFill="1" applyBorder="1" applyAlignment="1">
      <alignment horizontal="center" vertical="center" wrapText="1"/>
    </xf>
    <xf numFmtId="0" fontId="7" fillId="25" borderId="81" xfId="0" applyFont="1" applyFill="1" applyBorder="1" applyAlignment="1">
      <alignment horizontal="center" vertical="center" wrapText="1"/>
    </xf>
    <xf numFmtId="0" fontId="7" fillId="25" borderId="86" xfId="0" applyFont="1" applyFill="1" applyBorder="1" applyAlignment="1">
      <alignment horizontal="center" vertical="center" wrapText="1"/>
    </xf>
    <xf numFmtId="0" fontId="7" fillId="25" borderId="41" xfId="0" applyFont="1" applyFill="1" applyBorder="1" applyAlignment="1">
      <alignment horizontal="center" vertical="center" wrapText="1"/>
    </xf>
    <xf numFmtId="0" fontId="7" fillId="25" borderId="42" xfId="0" applyFont="1" applyFill="1" applyBorder="1" applyAlignment="1">
      <alignment horizontal="center" vertical="center" wrapText="1"/>
    </xf>
    <xf numFmtId="0" fontId="6" fillId="25" borderId="2" xfId="0" applyFont="1" applyFill="1" applyBorder="1" applyAlignment="1">
      <alignment horizontal="center" vertical="center" wrapText="1"/>
    </xf>
    <xf numFmtId="0" fontId="6" fillId="25" borderId="6" xfId="0" applyFont="1" applyFill="1" applyBorder="1" applyAlignment="1">
      <alignment horizontal="center" vertical="center" wrapText="1"/>
    </xf>
    <xf numFmtId="1" fontId="7" fillId="25" borderId="2" xfId="0" applyNumberFormat="1" applyFont="1" applyFill="1" applyBorder="1" applyAlignment="1">
      <alignment horizontal="center" vertical="center" wrapText="1"/>
    </xf>
    <xf numFmtId="2" fontId="7" fillId="25" borderId="2" xfId="0" applyNumberFormat="1" applyFont="1" applyFill="1" applyBorder="1" applyAlignment="1">
      <alignment horizontal="center" vertical="center" wrapText="1"/>
    </xf>
    <xf numFmtId="1" fontId="7" fillId="25" borderId="6" xfId="0" applyNumberFormat="1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35" xfId="0" applyFont="1" applyFill="1" applyBorder="1" applyAlignment="1">
      <alignment horizontal="center" vertical="center" wrapText="1"/>
    </xf>
    <xf numFmtId="2" fontId="8" fillId="12" borderId="2" xfId="0" applyNumberFormat="1" applyFont="1" applyFill="1" applyBorder="1" applyAlignment="1">
      <alignment horizontal="right"/>
    </xf>
    <xf numFmtId="2" fontId="0" fillId="0" borderId="2" xfId="0" applyNumberFormat="1" applyBorder="1" applyAlignment="1">
      <alignment vertical="top" wrapText="1"/>
    </xf>
    <xf numFmtId="0" fontId="8" fillId="0" borderId="12" xfId="0" applyFont="1" applyBorder="1" applyAlignment="1"/>
    <xf numFmtId="0" fontId="8" fillId="0" borderId="13" xfId="0" applyFont="1" applyBorder="1" applyAlignment="1"/>
    <xf numFmtId="0" fontId="8" fillId="0" borderId="13" xfId="0" applyFont="1" applyBorder="1" applyAlignment="1">
      <alignment vertical="center"/>
    </xf>
    <xf numFmtId="2" fontId="0" fillId="0" borderId="17" xfId="0" applyNumberFormat="1" applyBorder="1" applyAlignment="1">
      <alignment vertical="top" wrapText="1"/>
    </xf>
    <xf numFmtId="2" fontId="8" fillId="0" borderId="17" xfId="0" applyNumberFormat="1" applyFont="1" applyBorder="1" applyAlignment="1"/>
    <xf numFmtId="2" fontId="8" fillId="0" borderId="19" xfId="0" applyNumberFormat="1" applyFont="1" applyBorder="1" applyAlignment="1"/>
    <xf numFmtId="0" fontId="7" fillId="0" borderId="3" xfId="0" applyFont="1" applyBorder="1" applyAlignment="1"/>
    <xf numFmtId="0" fontId="7" fillId="0" borderId="18" xfId="0" applyFont="1" applyBorder="1" applyAlignment="1"/>
    <xf numFmtId="0" fontId="7" fillId="25" borderId="22" xfId="0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right"/>
    </xf>
    <xf numFmtId="0" fontId="7" fillId="25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2" fontId="7" fillId="0" borderId="6" xfId="0" applyNumberFormat="1" applyFont="1" applyBorder="1" applyAlignment="1"/>
    <xf numFmtId="2" fontId="7" fillId="0" borderId="2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0" fontId="7" fillId="1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5" borderId="12" xfId="0" applyFont="1" applyFill="1" applyBorder="1" applyAlignment="1">
      <alignment horizontal="center" vertical="center" wrapText="1"/>
    </xf>
    <xf numFmtId="0" fontId="7" fillId="25" borderId="3" xfId="0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0" fontId="7" fillId="10" borderId="35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2" borderId="1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132" fillId="25" borderId="2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1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0" fontId="7" fillId="10" borderId="3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25" borderId="13" xfId="0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left"/>
    </xf>
    <xf numFmtId="10" fontId="8" fillId="0" borderId="0" xfId="13" applyNumberFormat="1" applyFont="1" applyFill="1" applyBorder="1" applyAlignment="1">
      <alignment horizontal="right" vertical="center"/>
    </xf>
    <xf numFmtId="10" fontId="8" fillId="0" borderId="27" xfId="13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0" fontId="7" fillId="25" borderId="82" xfId="0" applyFont="1" applyFill="1" applyBorder="1" applyAlignment="1">
      <alignment vertical="center"/>
    </xf>
    <xf numFmtId="0" fontId="7" fillId="25" borderId="64" xfId="0" applyFont="1" applyFill="1" applyBorder="1" applyAlignment="1">
      <alignment vertical="center"/>
    </xf>
    <xf numFmtId="2" fontId="13" fillId="0" borderId="2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32" fillId="25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10" borderId="82" xfId="0" applyFont="1" applyFill="1" applyBorder="1" applyAlignment="1">
      <alignment horizontal="center" vertical="center"/>
    </xf>
    <xf numFmtId="2" fontId="13" fillId="0" borderId="89" xfId="0" applyNumberFormat="1" applyFont="1" applyBorder="1" applyAlignment="1"/>
    <xf numFmtId="0" fontId="7" fillId="10" borderId="0" xfId="0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/>
    <xf numFmtId="2" fontId="6" fillId="0" borderId="0" xfId="0" applyNumberFormat="1" applyFont="1" applyBorder="1" applyAlignment="1"/>
    <xf numFmtId="0" fontId="13" fillId="25" borderId="2" xfId="0" applyFont="1" applyFill="1" applyBorder="1" applyAlignment="1">
      <alignment horizontal="center" vertical="center"/>
    </xf>
    <xf numFmtId="0" fontId="7" fillId="25" borderId="22" xfId="0" applyFont="1" applyFill="1" applyBorder="1" applyAlignment="1">
      <alignment horizontal="center" vertical="center"/>
    </xf>
    <xf numFmtId="2" fontId="7" fillId="25" borderId="22" xfId="0" applyNumberFormat="1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vertical="center"/>
    </xf>
    <xf numFmtId="4" fontId="13" fillId="0" borderId="2" xfId="0" applyNumberFormat="1" applyFont="1" applyBorder="1" applyAlignment="1"/>
    <xf numFmtId="10" fontId="13" fillId="0" borderId="2" xfId="0" applyNumberFormat="1" applyFont="1" applyBorder="1" applyAlignment="1"/>
    <xf numFmtId="2" fontId="6" fillId="0" borderId="2" xfId="0" applyNumberFormat="1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right" vertical="center"/>
    </xf>
    <xf numFmtId="0" fontId="7" fillId="10" borderId="22" xfId="0" applyFont="1" applyFill="1" applyBorder="1" applyAlignment="1">
      <alignment horizontal="center" vertical="center" wrapText="1"/>
    </xf>
    <xf numFmtId="2" fontId="133" fillId="0" borderId="64" xfId="0" applyNumberFormat="1" applyFont="1" applyBorder="1" applyAlignment="1">
      <alignment horizontal="center"/>
    </xf>
    <xf numFmtId="2" fontId="133" fillId="0" borderId="22" xfId="0" applyNumberFormat="1" applyFont="1" applyBorder="1" applyAlignment="1">
      <alignment horizontal="center"/>
    </xf>
    <xf numFmtId="2" fontId="133" fillId="0" borderId="45" xfId="0" applyNumberFormat="1" applyFont="1" applyBorder="1" applyAlignment="1">
      <alignment horizontal="center"/>
    </xf>
    <xf numFmtId="2" fontId="133" fillId="0" borderId="45" xfId="0" applyNumberFormat="1" applyFont="1" applyBorder="1" applyAlignment="1">
      <alignment horizontal="center" vertical="center"/>
    </xf>
    <xf numFmtId="2" fontId="133" fillId="0" borderId="27" xfId="0" applyNumberFormat="1" applyFont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69" xfId="0" applyFont="1" applyFill="1" applyBorder="1" applyAlignment="1">
      <alignment horizontal="center" vertical="center" wrapText="1"/>
    </xf>
    <xf numFmtId="0" fontId="133" fillId="0" borderId="82" xfId="0" applyFont="1" applyBorder="1" applyAlignment="1"/>
    <xf numFmtId="0" fontId="133" fillId="0" borderId="23" xfId="0" applyFont="1" applyBorder="1" applyAlignment="1"/>
    <xf numFmtId="0" fontId="133" fillId="0" borderId="69" xfId="0" applyFont="1" applyBorder="1" applyAlignment="1"/>
    <xf numFmtId="0" fontId="133" fillId="0" borderId="68" xfId="0" applyFont="1" applyBorder="1" applyAlignment="1"/>
    <xf numFmtId="0" fontId="132" fillId="25" borderId="22" xfId="0" applyFont="1" applyFill="1" applyBorder="1" applyAlignment="1">
      <alignment horizontal="center" vertical="center"/>
    </xf>
    <xf numFmtId="2" fontId="133" fillId="0" borderId="22" xfId="0" applyNumberFormat="1" applyFont="1" applyFill="1" applyBorder="1" applyAlignment="1">
      <alignment horizontal="right" vertical="center"/>
    </xf>
    <xf numFmtId="0" fontId="8" fillId="0" borderId="0" xfId="21" applyFont="1" applyAlignment="1"/>
    <xf numFmtId="2" fontId="7" fillId="0" borderId="17" xfId="21" applyNumberFormat="1" applyFont="1" applyBorder="1" applyAlignment="1">
      <alignment horizontal="center"/>
    </xf>
    <xf numFmtId="2" fontId="7" fillId="0" borderId="19" xfId="21" applyNumberFormat="1" applyFont="1" applyBorder="1" applyAlignment="1">
      <alignment horizontal="center"/>
    </xf>
    <xf numFmtId="2" fontId="7" fillId="0" borderId="16" xfId="21" applyNumberFormat="1" applyFont="1" applyBorder="1" applyAlignment="1">
      <alignment horizontal="center"/>
    </xf>
    <xf numFmtId="0" fontId="7" fillId="0" borderId="34" xfId="21" applyFont="1" applyBorder="1" applyAlignment="1"/>
    <xf numFmtId="0" fontId="7" fillId="0" borderId="34" xfId="21" applyFont="1" applyBorder="1" applyAlignment="1">
      <alignment horizontal="center"/>
    </xf>
    <xf numFmtId="2" fontId="8" fillId="0" borderId="13" xfId="21" applyNumberFormat="1" applyFont="1" applyFill="1" applyBorder="1" applyAlignment="1">
      <alignment horizontal="right"/>
    </xf>
    <xf numFmtId="0" fontId="8" fillId="0" borderId="33" xfId="21" applyFont="1" applyBorder="1" applyAlignment="1">
      <alignment wrapText="1"/>
    </xf>
    <xf numFmtId="0" fontId="8" fillId="0" borderId="33" xfId="21" applyFont="1" applyBorder="1" applyAlignment="1">
      <alignment horizontal="center"/>
    </xf>
    <xf numFmtId="0" fontId="8" fillId="0" borderId="33" xfId="21" applyFont="1" applyBorder="1" applyAlignment="1"/>
    <xf numFmtId="0" fontId="8" fillId="0" borderId="32" xfId="21" applyFont="1" applyBorder="1" applyAlignment="1"/>
    <xf numFmtId="0" fontId="8" fillId="0" borderId="32" xfId="21" applyFont="1" applyBorder="1" applyAlignment="1">
      <alignment horizontal="center"/>
    </xf>
    <xf numFmtId="0" fontId="7" fillId="10" borderId="34" xfId="21" applyFont="1" applyFill="1" applyBorder="1" applyAlignment="1">
      <alignment horizontal="center"/>
    </xf>
    <xf numFmtId="0" fontId="7" fillId="10" borderId="19" xfId="21" applyFont="1" applyFill="1" applyBorder="1" applyAlignment="1">
      <alignment horizontal="center"/>
    </xf>
    <xf numFmtId="0" fontId="7" fillId="10" borderId="17" xfId="21" applyFont="1" applyFill="1" applyBorder="1" applyAlignment="1">
      <alignment horizontal="center"/>
    </xf>
    <xf numFmtId="0" fontId="7" fillId="10" borderId="16" xfId="21" applyFont="1" applyFill="1" applyBorder="1" applyAlignment="1">
      <alignment horizontal="center"/>
    </xf>
    <xf numFmtId="0" fontId="7" fillId="10" borderId="26" xfId="21" applyFont="1" applyFill="1" applyBorder="1" applyAlignment="1">
      <alignment horizontal="center" vertical="center" wrapText="1"/>
    </xf>
    <xf numFmtId="0" fontId="7" fillId="10" borderId="2" xfId="21" applyFont="1" applyFill="1" applyBorder="1" applyAlignment="1">
      <alignment horizontal="center" vertical="center" wrapText="1"/>
    </xf>
    <xf numFmtId="0" fontId="7" fillId="10" borderId="13" xfId="21" applyFont="1" applyFill="1" applyBorder="1" applyAlignment="1">
      <alignment horizontal="right" wrapText="1"/>
    </xf>
    <xf numFmtId="0" fontId="7" fillId="10" borderId="65" xfId="21" applyFont="1" applyFill="1" applyBorder="1" applyAlignment="1"/>
    <xf numFmtId="0" fontId="8" fillId="0" borderId="0" xfId="21" applyFont="1" applyFill="1" applyAlignment="1"/>
    <xf numFmtId="2" fontId="8" fillId="0" borderId="2" xfId="21" applyNumberFormat="1" applyFont="1" applyFill="1" applyBorder="1" applyAlignment="1">
      <alignment horizontal="right"/>
    </xf>
    <xf numFmtId="2" fontId="8" fillId="0" borderId="2" xfId="21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 wrapText="1"/>
    </xf>
    <xf numFmtId="0" fontId="8" fillId="0" borderId="2" xfId="21" applyFont="1" applyBorder="1" applyAlignment="1">
      <alignment wrapText="1"/>
    </xf>
    <xf numFmtId="2" fontId="7" fillId="0" borderId="2" xfId="21" applyNumberFormat="1" applyFont="1" applyFill="1" applyBorder="1" applyAlignment="1">
      <alignment horizontal="right"/>
    </xf>
    <xf numFmtId="0" fontId="7" fillId="0" borderId="2" xfId="21" applyFont="1" applyFill="1" applyBorder="1" applyAlignment="1">
      <alignment vertical="center" wrapText="1"/>
    </xf>
    <xf numFmtId="0" fontId="7" fillId="0" borderId="2" xfId="21" applyFont="1" applyBorder="1" applyAlignment="1">
      <alignment wrapText="1"/>
    </xf>
    <xf numFmtId="2" fontId="7" fillId="0" borderId="2" xfId="21" applyNumberFormat="1" applyFont="1" applyFill="1" applyBorder="1" applyAlignment="1">
      <alignment horizontal="right" vertical="center"/>
    </xf>
    <xf numFmtId="2" fontId="7" fillId="0" borderId="2" xfId="21" applyNumberFormat="1" applyFont="1" applyFill="1" applyBorder="1" applyAlignment="1">
      <alignment horizontal="right" wrapText="1"/>
    </xf>
    <xf numFmtId="0" fontId="8" fillId="0" borderId="2" xfId="21" applyFont="1" applyFill="1" applyBorder="1" applyAlignment="1">
      <alignment wrapText="1"/>
    </xf>
    <xf numFmtId="0" fontId="7" fillId="0" borderId="2" xfId="21" applyFont="1" applyFill="1" applyBorder="1" applyAlignment="1">
      <alignment wrapText="1"/>
    </xf>
    <xf numFmtId="0" fontId="7" fillId="14" borderId="2" xfId="21" applyFont="1" applyFill="1" applyBorder="1" applyAlignment="1">
      <alignment wrapText="1"/>
    </xf>
    <xf numFmtId="2" fontId="8" fillId="0" borderId="2" xfId="21" applyNumberFormat="1" applyFont="1" applyBorder="1" applyAlignment="1">
      <alignment horizontal="right"/>
    </xf>
    <xf numFmtId="0" fontId="8" fillId="0" borderId="2" xfId="21" applyFont="1" applyFill="1" applyBorder="1" applyAlignment="1">
      <alignment horizontal="left" wrapText="1"/>
    </xf>
    <xf numFmtId="0" fontId="8" fillId="0" borderId="2" xfId="21" applyFont="1" applyBorder="1" applyAlignment="1">
      <alignment horizontal="left" wrapText="1"/>
    </xf>
    <xf numFmtId="2" fontId="8" fillId="0" borderId="2" xfId="21" applyNumberFormat="1" applyFont="1" applyFill="1" applyBorder="1" applyAlignment="1">
      <alignment horizontal="right" vertical="center" wrapText="1"/>
    </xf>
    <xf numFmtId="0" fontId="7" fillId="0" borderId="0" xfId="21" applyFont="1" applyAlignment="1">
      <alignment horizontal="center"/>
    </xf>
    <xf numFmtId="0" fontId="7" fillId="25" borderId="2" xfId="21" applyFont="1" applyFill="1" applyBorder="1" applyAlignment="1">
      <alignment horizontal="center" vertical="center" wrapText="1"/>
    </xf>
    <xf numFmtId="0" fontId="7" fillId="25" borderId="2" xfId="21" applyFont="1" applyFill="1" applyBorder="1" applyAlignment="1">
      <alignment horizontal="center" wrapText="1"/>
    </xf>
    <xf numFmtId="0" fontId="7" fillId="0" borderId="0" xfId="21" applyFont="1" applyBorder="1" applyAlignment="1">
      <alignment horizontal="right"/>
    </xf>
    <xf numFmtId="0" fontId="8" fillId="0" borderId="0" xfId="21" applyFont="1" applyBorder="1" applyAlignment="1"/>
    <xf numFmtId="9" fontId="8" fillId="0" borderId="0" xfId="21" applyNumberFormat="1" applyFont="1" applyAlignment="1"/>
    <xf numFmtId="0" fontId="7" fillId="10" borderId="0" xfId="21" applyFont="1" applyFill="1" applyBorder="1" applyAlignment="1"/>
    <xf numFmtId="0" fontId="7" fillId="10" borderId="0" xfId="21" applyFont="1" applyFill="1" applyBorder="1" applyAlignment="1">
      <alignment horizontal="center"/>
    </xf>
    <xf numFmtId="2" fontId="8" fillId="0" borderId="0" xfId="21" applyNumberFormat="1" applyFont="1" applyFill="1" applyBorder="1" applyAlignment="1">
      <alignment horizontal="right"/>
    </xf>
    <xf numFmtId="2" fontId="7" fillId="0" borderId="0" xfId="21" applyNumberFormat="1" applyFont="1" applyBorder="1" applyAlignment="1">
      <alignment horizontal="center"/>
    </xf>
    <xf numFmtId="0" fontId="7" fillId="0" borderId="2" xfId="21" applyFont="1" applyBorder="1" applyAlignment="1">
      <alignment horizontal="center"/>
    </xf>
    <xf numFmtId="0" fontId="8" fillId="0" borderId="2" xfId="21" applyFont="1" applyBorder="1" applyAlignment="1"/>
    <xf numFmtId="0" fontId="8" fillId="0" borderId="2" xfId="21" applyFont="1" applyBorder="1" applyAlignment="1">
      <alignment horizontal="center" wrapText="1"/>
    </xf>
    <xf numFmtId="0" fontId="8" fillId="0" borderId="2" xfId="21" applyFont="1" applyBorder="1" applyAlignment="1">
      <alignment horizontal="center" vertical="top" wrapText="1"/>
    </xf>
    <xf numFmtId="2" fontId="8" fillId="0" borderId="2" xfId="21" applyNumberFormat="1" applyFont="1" applyBorder="1" applyAlignment="1"/>
    <xf numFmtId="9" fontId="8" fillId="0" borderId="2" xfId="22" applyFont="1" applyBorder="1" applyAlignment="1"/>
    <xf numFmtId="10" fontId="8" fillId="0" borderId="2" xfId="22" applyNumberFormat="1" applyFont="1" applyBorder="1" applyAlignment="1"/>
    <xf numFmtId="0" fontId="7" fillId="0" borderId="2" xfId="21" applyFont="1" applyBorder="1" applyAlignment="1">
      <alignment horizontal="center" wrapText="1"/>
    </xf>
    <xf numFmtId="2" fontId="133" fillId="12" borderId="0" xfId="0" applyNumberFormat="1" applyFont="1" applyFill="1" applyAlignment="1"/>
    <xf numFmtId="2" fontId="133" fillId="0" borderId="2" xfId="0" applyNumberFormat="1" applyFont="1" applyBorder="1" applyAlignment="1"/>
    <xf numFmtId="0" fontId="133" fillId="0" borderId="20" xfId="0" applyFont="1" applyBorder="1" applyAlignment="1"/>
    <xf numFmtId="2" fontId="132" fillId="0" borderId="17" xfId="0" applyNumberFormat="1" applyFont="1" applyFill="1" applyBorder="1" applyAlignment="1">
      <alignment horizontal="right" vertical="center"/>
    </xf>
    <xf numFmtId="2" fontId="133" fillId="0" borderId="1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10" fontId="133" fillId="0" borderId="2" xfId="13" applyNumberFormat="1" applyFont="1" applyFill="1" applyBorder="1" applyAlignment="1">
      <alignment horizontal="right" vertical="center"/>
    </xf>
    <xf numFmtId="10" fontId="6" fillId="0" borderId="2" xfId="13" applyNumberFormat="1" applyFont="1" applyFill="1" applyBorder="1" applyAlignment="1">
      <alignment horizontal="right" vertical="center"/>
    </xf>
    <xf numFmtId="2" fontId="132" fillId="0" borderId="2" xfId="13" applyNumberFormat="1" applyFont="1" applyFill="1" applyBorder="1" applyAlignment="1">
      <alignment horizontal="right" vertical="center"/>
    </xf>
    <xf numFmtId="2" fontId="6" fillId="0" borderId="2" xfId="13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2" fontId="132" fillId="0" borderId="2" xfId="0" applyNumberFormat="1" applyFont="1" applyFill="1" applyBorder="1" applyAlignment="1">
      <alignment horizontal="right" vertical="center"/>
    </xf>
    <xf numFmtId="2" fontId="13" fillId="0" borderId="2" xfId="0" applyNumberFormat="1" applyFont="1" applyFill="1" applyBorder="1" applyAlignment="1">
      <alignment horizontal="right" vertical="center" wrapText="1"/>
    </xf>
    <xf numFmtId="1" fontId="7" fillId="25" borderId="22" xfId="0" applyNumberFormat="1" applyFont="1" applyFill="1" applyBorder="1" applyAlignment="1">
      <alignment horizontal="center" vertical="center" wrapText="1"/>
    </xf>
    <xf numFmtId="0" fontId="7" fillId="0" borderId="0" xfId="21" applyFont="1" applyAlignment="1"/>
    <xf numFmtId="2" fontId="6" fillId="0" borderId="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2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17" fontId="120" fillId="23" borderId="0" xfId="19" applyNumberFormat="1" applyFont="1" applyFill="1" applyAlignment="1">
      <alignment horizontal="center" vertical="center" wrapText="1"/>
    </xf>
    <xf numFmtId="0" fontId="7" fillId="23" borderId="0" xfId="19" applyFont="1" applyFill="1" applyBorder="1" applyAlignment="1" applyProtection="1">
      <alignment horizontal="center" vertical="center" wrapText="1"/>
      <protection locked="0"/>
    </xf>
    <xf numFmtId="0" fontId="7" fillId="23" borderId="0" xfId="19" applyFont="1" applyFill="1" applyBorder="1" applyAlignment="1">
      <alignment horizontal="center" vertical="center" wrapText="1"/>
    </xf>
    <xf numFmtId="0" fontId="7" fillId="23" borderId="0" xfId="19" applyFont="1" applyFill="1" applyAlignment="1">
      <alignment horizontal="center"/>
    </xf>
    <xf numFmtId="0" fontId="124" fillId="21" borderId="84" xfId="16" applyFont="1" applyFill="1" applyBorder="1" applyAlignment="1">
      <alignment horizontal="center"/>
    </xf>
    <xf numFmtId="0" fontId="124" fillId="21" borderId="54" xfId="16" applyFont="1" applyFill="1" applyBorder="1" applyAlignment="1">
      <alignment horizontal="center"/>
    </xf>
    <xf numFmtId="0" fontId="124" fillId="21" borderId="83" xfId="16" applyFont="1" applyFill="1" applyBorder="1" applyAlignment="1">
      <alignment horizontal="center"/>
    </xf>
    <xf numFmtId="0" fontId="95" fillId="21" borderId="73" xfId="16" applyFont="1" applyFill="1" applyBorder="1" applyAlignment="1">
      <alignment horizontal="center" wrapText="1"/>
    </xf>
    <xf numFmtId="0" fontId="95" fillId="21" borderId="54" xfId="16" applyFont="1" applyFill="1" applyBorder="1" applyAlignment="1">
      <alignment horizontal="center" wrapText="1"/>
    </xf>
    <xf numFmtId="0" fontId="95" fillId="21" borderId="74" xfId="16" applyFont="1" applyFill="1" applyBorder="1" applyAlignment="1">
      <alignment horizontal="center" wrapText="1"/>
    </xf>
    <xf numFmtId="0" fontId="95" fillId="21" borderId="83" xfId="16" applyFont="1" applyFill="1" applyBorder="1" applyAlignment="1">
      <alignment horizontal="center" wrapText="1"/>
    </xf>
    <xf numFmtId="0" fontId="95" fillId="21" borderId="46" xfId="16" applyFont="1" applyFill="1" applyBorder="1" applyAlignment="1">
      <alignment horizontal="center" wrapText="1"/>
    </xf>
    <xf numFmtId="0" fontId="95" fillId="21" borderId="47" xfId="16" applyFont="1" applyFill="1" applyBorder="1" applyAlignment="1">
      <alignment horizontal="center" wrapText="1"/>
    </xf>
    <xf numFmtId="0" fontId="95" fillId="21" borderId="85" xfId="16" applyFont="1" applyFill="1" applyBorder="1" applyAlignment="1">
      <alignment horizontal="center" wrapText="1"/>
    </xf>
    <xf numFmtId="0" fontId="95" fillId="21" borderId="46" xfId="16" applyFont="1" applyFill="1" applyBorder="1" applyAlignment="1">
      <alignment wrapText="1"/>
    </xf>
    <xf numFmtId="0" fontId="95" fillId="21" borderId="47" xfId="16" applyFont="1" applyFill="1" applyBorder="1" applyAlignment="1">
      <alignment wrapText="1"/>
    </xf>
    <xf numFmtId="0" fontId="95" fillId="21" borderId="85" xfId="16" applyFont="1" applyFill="1" applyBorder="1" applyAlignment="1">
      <alignment wrapText="1"/>
    </xf>
    <xf numFmtId="0" fontId="124" fillId="21" borderId="73" xfId="16" applyFont="1" applyFill="1" applyBorder="1" applyAlignment="1">
      <alignment horizontal="center"/>
    </xf>
    <xf numFmtId="0" fontId="95" fillId="21" borderId="46" xfId="15" applyFont="1" applyFill="1" applyBorder="1" applyAlignment="1">
      <alignment horizontal="center" wrapText="1"/>
    </xf>
    <xf numFmtId="0" fontId="95" fillId="21" borderId="47" xfId="15" applyFont="1" applyFill="1" applyBorder="1" applyAlignment="1">
      <alignment horizontal="center" wrapText="1"/>
    </xf>
    <xf numFmtId="0" fontId="95" fillId="21" borderId="85" xfId="15" applyFont="1" applyFill="1" applyBorder="1" applyAlignment="1">
      <alignment horizontal="center" wrapText="1"/>
    </xf>
    <xf numFmtId="0" fontId="95" fillId="21" borderId="46" xfId="15" applyFont="1" applyFill="1" applyBorder="1" applyAlignment="1">
      <alignment wrapText="1"/>
    </xf>
    <xf numFmtId="0" fontId="95" fillId="21" borderId="47" xfId="15" applyFont="1" applyFill="1" applyBorder="1" applyAlignment="1">
      <alignment wrapText="1"/>
    </xf>
    <xf numFmtId="0" fontId="95" fillId="21" borderId="85" xfId="15" applyFont="1" applyFill="1" applyBorder="1" applyAlignment="1">
      <alignment wrapText="1"/>
    </xf>
    <xf numFmtId="0" fontId="124" fillId="21" borderId="73" xfId="15" applyFont="1" applyFill="1" applyBorder="1" applyAlignment="1">
      <alignment horizontal="center"/>
    </xf>
    <xf numFmtId="0" fontId="124" fillId="21" borderId="54" xfId="15" applyFont="1" applyFill="1" applyBorder="1" applyAlignment="1">
      <alignment horizontal="center"/>
    </xf>
    <xf numFmtId="0" fontId="124" fillId="21" borderId="83" xfId="15" applyFont="1" applyFill="1" applyBorder="1" applyAlignment="1">
      <alignment horizontal="center"/>
    </xf>
    <xf numFmtId="0" fontId="95" fillId="21" borderId="73" xfId="15" applyFont="1" applyFill="1" applyBorder="1" applyAlignment="1">
      <alignment horizontal="center" wrapText="1"/>
    </xf>
    <xf numFmtId="0" fontId="95" fillId="21" borderId="54" xfId="15" applyFont="1" applyFill="1" applyBorder="1" applyAlignment="1">
      <alignment horizontal="center" wrapText="1"/>
    </xf>
    <xf numFmtId="0" fontId="95" fillId="21" borderId="74" xfId="15" applyFont="1" applyFill="1" applyBorder="1" applyAlignment="1">
      <alignment horizontal="center" wrapText="1"/>
    </xf>
    <xf numFmtId="0" fontId="130" fillId="22" borderId="46" xfId="15" applyFont="1" applyFill="1" applyBorder="1"/>
    <xf numFmtId="0" fontId="130" fillId="22" borderId="31" xfId="15" applyFont="1" applyFill="1" applyBorder="1"/>
    <xf numFmtId="0" fontId="130" fillId="22" borderId="73" xfId="15" applyFont="1" applyFill="1" applyBorder="1"/>
    <xf numFmtId="0" fontId="130" fillId="22" borderId="54" xfId="15" applyFont="1" applyFill="1" applyBorder="1"/>
    <xf numFmtId="0" fontId="130" fillId="22" borderId="83" xfId="15" applyFont="1" applyFill="1" applyBorder="1"/>
    <xf numFmtId="0" fontId="95" fillId="21" borderId="83" xfId="15" applyFont="1" applyFill="1" applyBorder="1" applyAlignment="1">
      <alignment horizontal="center" wrapText="1"/>
    </xf>
    <xf numFmtId="0" fontId="124" fillId="21" borderId="84" xfId="15" applyFont="1" applyFill="1" applyBorder="1" applyAlignment="1">
      <alignment horizontal="center"/>
    </xf>
    <xf numFmtId="0" fontId="132" fillId="22" borderId="46" xfId="15" applyFont="1" applyFill="1" applyBorder="1" applyAlignment="1">
      <alignment horizontal="center"/>
    </xf>
    <xf numFmtId="0" fontId="132" fillId="22" borderId="31" xfId="15" applyFont="1" applyFill="1" applyBorder="1" applyAlignment="1">
      <alignment horizontal="center"/>
    </xf>
    <xf numFmtId="0" fontId="132" fillId="22" borderId="73" xfId="15" applyFont="1" applyFill="1" applyBorder="1" applyAlignment="1">
      <alignment horizontal="center"/>
    </xf>
    <xf numFmtId="0" fontId="132" fillId="22" borderId="54" xfId="15" applyFont="1" applyFill="1" applyBorder="1" applyAlignment="1">
      <alignment horizontal="center"/>
    </xf>
    <xf numFmtId="0" fontId="132" fillId="22" borderId="74" xfId="15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 vertical="center" wrapText="1"/>
    </xf>
    <xf numFmtId="0" fontId="132" fillId="12" borderId="46" xfId="15" applyFont="1" applyFill="1" applyBorder="1" applyAlignment="1">
      <alignment horizontal="center"/>
    </xf>
    <xf numFmtId="0" fontId="132" fillId="12" borderId="31" xfId="15" applyFont="1" applyFill="1" applyBorder="1" applyAlignment="1">
      <alignment horizontal="center"/>
    </xf>
    <xf numFmtId="0" fontId="132" fillId="12" borderId="73" xfId="15" applyFont="1" applyFill="1" applyBorder="1" applyAlignment="1">
      <alignment horizontal="center"/>
    </xf>
    <xf numFmtId="0" fontId="132" fillId="12" borderId="54" xfId="15" applyFont="1" applyFill="1" applyBorder="1" applyAlignment="1">
      <alignment horizontal="center"/>
    </xf>
    <xf numFmtId="0" fontId="132" fillId="12" borderId="74" xfId="15" applyFont="1" applyFill="1" applyBorder="1" applyAlignment="1">
      <alignment horizontal="center"/>
    </xf>
    <xf numFmtId="0" fontId="132" fillId="21" borderId="46" xfId="15" applyFont="1" applyFill="1" applyBorder="1" applyAlignment="1">
      <alignment horizontal="center"/>
    </xf>
    <xf numFmtId="0" fontId="132" fillId="21" borderId="31" xfId="15" applyFont="1" applyFill="1" applyBorder="1" applyAlignment="1">
      <alignment horizontal="center"/>
    </xf>
    <xf numFmtId="0" fontId="132" fillId="21" borderId="73" xfId="15" applyFont="1" applyFill="1" applyBorder="1" applyAlignment="1">
      <alignment horizontal="center"/>
    </xf>
    <xf numFmtId="0" fontId="132" fillId="21" borderId="54" xfId="15" applyFont="1" applyFill="1" applyBorder="1" applyAlignment="1">
      <alignment horizontal="center"/>
    </xf>
    <xf numFmtId="0" fontId="132" fillId="21" borderId="74" xfId="15" applyFont="1" applyFill="1" applyBorder="1" applyAlignment="1">
      <alignment horizontal="center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4" fontId="133" fillId="0" borderId="46" xfId="15" applyNumberFormat="1" applyFont="1" applyBorder="1" applyAlignment="1">
      <alignment horizontal="center"/>
    </xf>
    <xf numFmtId="4" fontId="133" fillId="0" borderId="47" xfId="15" applyNumberFormat="1" applyFont="1" applyBorder="1" applyAlignment="1">
      <alignment horizontal="center"/>
    </xf>
    <xf numFmtId="4" fontId="133" fillId="0" borderId="31" xfId="15" applyNumberFormat="1" applyFont="1" applyBorder="1" applyAlignment="1">
      <alignment horizontal="center"/>
    </xf>
    <xf numFmtId="0" fontId="7" fillId="10" borderId="65" xfId="0" applyFont="1" applyFill="1" applyBorder="1" applyAlignment="1">
      <alignment horizontal="center" vertical="center" wrapText="1"/>
    </xf>
    <xf numFmtId="0" fontId="7" fillId="10" borderId="33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132" fillId="12" borderId="46" xfId="15" applyFont="1" applyFill="1" applyBorder="1" applyAlignment="1">
      <alignment horizontal="center" wrapText="1"/>
    </xf>
    <xf numFmtId="0" fontId="132" fillId="12" borderId="47" xfId="15" applyFont="1" applyFill="1" applyBorder="1" applyAlignment="1">
      <alignment horizontal="center" wrapText="1"/>
    </xf>
    <xf numFmtId="0" fontId="132" fillId="12" borderId="31" xfId="15" applyFont="1" applyFill="1" applyBorder="1" applyAlignment="1">
      <alignment horizontal="center" wrapText="1"/>
    </xf>
    <xf numFmtId="0" fontId="132" fillId="12" borderId="73" xfId="15" applyFont="1" applyFill="1" applyBorder="1" applyAlignment="1">
      <alignment horizontal="center" wrapText="1"/>
    </xf>
    <xf numFmtId="0" fontId="132" fillId="12" borderId="54" xfId="15" applyFont="1" applyFill="1" applyBorder="1" applyAlignment="1">
      <alignment horizontal="center" wrapText="1"/>
    </xf>
    <xf numFmtId="0" fontId="132" fillId="12" borderId="74" xfId="15" applyFont="1" applyFill="1" applyBorder="1" applyAlignment="1">
      <alignment horizontal="center" wrapText="1"/>
    </xf>
    <xf numFmtId="0" fontId="132" fillId="21" borderId="47" xfId="15" applyFont="1" applyFill="1" applyBorder="1" applyAlignment="1">
      <alignment horizontal="center"/>
    </xf>
    <xf numFmtId="0" fontId="132" fillId="21" borderId="46" xfId="15" applyFont="1" applyFill="1" applyBorder="1" applyAlignment="1">
      <alignment horizontal="center" wrapText="1"/>
    </xf>
    <xf numFmtId="0" fontId="132" fillId="21" borderId="47" xfId="15" applyFont="1" applyFill="1" applyBorder="1" applyAlignment="1">
      <alignment horizontal="center" wrapText="1"/>
    </xf>
    <xf numFmtId="0" fontId="132" fillId="21" borderId="85" xfId="15" applyFont="1" applyFill="1" applyBorder="1" applyAlignment="1">
      <alignment horizontal="center" wrapText="1"/>
    </xf>
    <xf numFmtId="0" fontId="132" fillId="21" borderId="46" xfId="15" applyFont="1" applyFill="1" applyBorder="1" applyAlignment="1">
      <alignment wrapText="1"/>
    </xf>
    <xf numFmtId="0" fontId="132" fillId="21" borderId="47" xfId="15" applyFont="1" applyFill="1" applyBorder="1" applyAlignment="1">
      <alignment wrapText="1"/>
    </xf>
    <xf numFmtId="0" fontId="132" fillId="21" borderId="85" xfId="15" applyFont="1" applyFill="1" applyBorder="1" applyAlignment="1">
      <alignment wrapText="1"/>
    </xf>
    <xf numFmtId="0" fontId="132" fillId="21" borderId="73" xfId="15" applyFont="1" applyFill="1" applyBorder="1" applyAlignment="1">
      <alignment horizontal="center" wrapText="1"/>
    </xf>
    <xf numFmtId="0" fontId="132" fillId="21" borderId="54" xfId="15" applyFont="1" applyFill="1" applyBorder="1" applyAlignment="1">
      <alignment horizontal="center" wrapText="1"/>
    </xf>
    <xf numFmtId="0" fontId="132" fillId="21" borderId="83" xfId="15" applyFont="1" applyFill="1" applyBorder="1" applyAlignment="1">
      <alignment horizontal="center" wrapText="1"/>
    </xf>
    <xf numFmtId="0" fontId="132" fillId="21" borderId="74" xfId="15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10" borderId="80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0" fontId="7" fillId="10" borderId="46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 wrapText="1"/>
    </xf>
    <xf numFmtId="0" fontId="7" fillId="10" borderId="67" xfId="0" applyFont="1" applyFill="1" applyBorder="1" applyAlignment="1">
      <alignment horizontal="center" vertical="center" wrapText="1"/>
    </xf>
    <xf numFmtId="0" fontId="7" fillId="10" borderId="82" xfId="0" applyFont="1" applyFill="1" applyBorder="1" applyAlignment="1">
      <alignment horizontal="center" vertical="center" wrapText="1"/>
    </xf>
    <xf numFmtId="0" fontId="7" fillId="10" borderId="35" xfId="0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39" fillId="0" borderId="0" xfId="0" applyFont="1" applyBorder="1" applyAlignment="1">
      <alignment horizontal="right" vertical="center" wrapText="1"/>
    </xf>
    <xf numFmtId="0" fontId="6" fillId="25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25" borderId="12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5" borderId="3" xfId="0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horizontal="center" vertical="center"/>
    </xf>
    <xf numFmtId="0" fontId="7" fillId="25" borderId="3" xfId="0" applyFont="1" applyFill="1" applyBorder="1" applyAlignment="1">
      <alignment horizontal="center" vertical="center" wrapText="1"/>
    </xf>
    <xf numFmtId="0" fontId="7" fillId="10" borderId="65" xfId="21" applyFont="1" applyFill="1" applyBorder="1" applyAlignment="1">
      <alignment horizontal="center" vertical="center"/>
    </xf>
    <xf numFmtId="0" fontId="7" fillId="10" borderId="34" xfId="21" applyFont="1" applyFill="1" applyBorder="1" applyAlignment="1">
      <alignment horizontal="center" vertical="center"/>
    </xf>
    <xf numFmtId="0" fontId="7" fillId="10" borderId="65" xfId="21" applyFont="1" applyFill="1" applyBorder="1" applyAlignment="1">
      <alignment horizontal="left" vertical="center"/>
    </xf>
    <xf numFmtId="0" fontId="7" fillId="10" borderId="34" xfId="21" applyFont="1" applyFill="1" applyBorder="1" applyAlignment="1">
      <alignment horizontal="left" vertical="center"/>
    </xf>
    <xf numFmtId="0" fontId="7" fillId="10" borderId="67" xfId="21" applyFont="1" applyFill="1" applyBorder="1" applyAlignment="1">
      <alignment horizontal="center" vertical="center" wrapText="1"/>
    </xf>
    <xf numFmtId="0" fontId="7" fillId="10" borderId="82" xfId="21" applyFont="1" applyFill="1" applyBorder="1" applyAlignment="1">
      <alignment horizontal="center" vertical="center" wrapText="1"/>
    </xf>
    <xf numFmtId="0" fontId="7" fillId="10" borderId="35" xfId="21" applyFont="1" applyFill="1" applyBorder="1" applyAlignment="1">
      <alignment horizontal="center" vertical="center" wrapText="1"/>
    </xf>
    <xf numFmtId="0" fontId="7" fillId="10" borderId="12" xfId="21" applyFont="1" applyFill="1" applyBorder="1" applyAlignment="1">
      <alignment horizontal="center"/>
    </xf>
    <xf numFmtId="0" fontId="7" fillId="10" borderId="3" xfId="21" applyFont="1" applyFill="1" applyBorder="1" applyAlignment="1">
      <alignment horizontal="center"/>
    </xf>
    <xf numFmtId="0" fontId="7" fillId="10" borderId="18" xfId="21" applyFont="1" applyFill="1" applyBorder="1" applyAlignment="1">
      <alignment horizontal="center"/>
    </xf>
    <xf numFmtId="0" fontId="7" fillId="25" borderId="2" xfId="21" applyFont="1" applyFill="1" applyBorder="1" applyAlignment="1">
      <alignment horizontal="center" vertical="center" wrapText="1"/>
    </xf>
    <xf numFmtId="0" fontId="7" fillId="0" borderId="0" xfId="21" applyFont="1" applyAlignment="1">
      <alignment horizontal="center"/>
    </xf>
    <xf numFmtId="0" fontId="8" fillId="0" borderId="0" xfId="21" applyFont="1" applyBorder="1" applyAlignment="1">
      <alignment horizontal="right"/>
    </xf>
    <xf numFmtId="0" fontId="7" fillId="0" borderId="0" xfId="21" applyFont="1" applyFill="1" applyBorder="1" applyAlignment="1" applyProtection="1">
      <alignment horizontal="center" vertical="center" wrapText="1"/>
      <protection locked="0"/>
    </xf>
    <xf numFmtId="0" fontId="7" fillId="0" borderId="0" xfId="21" applyFont="1" applyBorder="1" applyAlignment="1">
      <alignment horizontal="center" vertical="center" wrapText="1"/>
    </xf>
    <xf numFmtId="0" fontId="7" fillId="0" borderId="0" xfId="21" applyFont="1" applyBorder="1" applyAlignment="1">
      <alignment horizontal="center"/>
    </xf>
    <xf numFmtId="0" fontId="7" fillId="25" borderId="64" xfId="0" applyFont="1" applyFill="1" applyBorder="1" applyAlignment="1">
      <alignment horizontal="center" vertical="center" wrapText="1"/>
    </xf>
    <xf numFmtId="0" fontId="7" fillId="25" borderId="82" xfId="0" applyFont="1" applyFill="1" applyBorder="1" applyAlignment="1">
      <alignment horizontal="center" vertical="center" wrapText="1"/>
    </xf>
    <xf numFmtId="0" fontId="7" fillId="25" borderId="63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left" vertical="center"/>
    </xf>
    <xf numFmtId="0" fontId="7" fillId="1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7" fillId="10" borderId="56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35" fillId="0" borderId="60" xfId="0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135" fillId="0" borderId="0" xfId="0" applyFont="1" applyAlignment="1">
      <alignment horizontal="center"/>
    </xf>
    <xf numFmtId="0" fontId="7" fillId="2" borderId="6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" fontId="136" fillId="0" borderId="0" xfId="0" applyNumberFormat="1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8" borderId="73" xfId="0" applyFont="1" applyFill="1" applyBorder="1" applyAlignment="1">
      <alignment horizontal="center"/>
    </xf>
    <xf numFmtId="0" fontId="7" fillId="8" borderId="74" xfId="0" applyFont="1" applyFill="1" applyBorder="1" applyAlignment="1">
      <alignment horizontal="center"/>
    </xf>
    <xf numFmtId="1" fontId="7" fillId="8" borderId="73" xfId="0" applyNumberFormat="1" applyFont="1" applyFill="1" applyBorder="1" applyAlignment="1">
      <alignment horizontal="center"/>
    </xf>
    <xf numFmtId="1" fontId="7" fillId="8" borderId="54" xfId="0" applyNumberFormat="1" applyFont="1" applyFill="1" applyBorder="1" applyAlignment="1">
      <alignment horizontal="center"/>
    </xf>
    <xf numFmtId="1" fontId="7" fillId="8" borderId="74" xfId="0" applyNumberFormat="1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1" fontId="137" fillId="0" borderId="60" xfId="0" applyNumberFormat="1" applyFont="1" applyBorder="1" applyAlignment="1">
      <alignment horizontal="left"/>
    </xf>
    <xf numFmtId="0" fontId="7" fillId="25" borderId="64" xfId="0" applyFont="1" applyFill="1" applyBorder="1" applyAlignment="1">
      <alignment horizontal="center" vertical="center"/>
    </xf>
    <xf numFmtId="0" fontId="7" fillId="25" borderId="82" xfId="0" applyFont="1" applyFill="1" applyBorder="1" applyAlignment="1">
      <alignment horizontal="center" vertical="center"/>
    </xf>
    <xf numFmtId="0" fontId="7" fillId="25" borderId="63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right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5" borderId="22" xfId="0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5" borderId="18" xfId="0" applyFont="1" applyFill="1" applyBorder="1" applyAlignment="1">
      <alignment horizontal="center" vertical="center"/>
    </xf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7" fillId="11" borderId="18" xfId="0" applyFont="1" applyFill="1" applyBorder="1" applyAlignment="1">
      <alignment horizontal="center" vertical="center"/>
    </xf>
    <xf numFmtId="0" fontId="13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32" fillId="25" borderId="12" xfId="0" applyFont="1" applyFill="1" applyBorder="1" applyAlignment="1">
      <alignment horizontal="center" vertical="center"/>
    </xf>
    <xf numFmtId="0" fontId="132" fillId="25" borderId="13" xfId="0" applyFont="1" applyFill="1" applyBorder="1" applyAlignment="1">
      <alignment horizontal="center" vertical="center"/>
    </xf>
    <xf numFmtId="0" fontId="132" fillId="25" borderId="3" xfId="0" applyFont="1" applyFill="1" applyBorder="1" applyAlignment="1">
      <alignment horizontal="center" vertical="center"/>
    </xf>
    <xf numFmtId="0" fontId="7" fillId="10" borderId="46" xfId="0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0" fontId="7" fillId="10" borderId="67" xfId="0" applyFont="1" applyFill="1" applyBorder="1" applyAlignment="1">
      <alignment horizontal="center" vertical="center"/>
    </xf>
    <xf numFmtId="0" fontId="7" fillId="10" borderId="82" xfId="0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0" fontId="132" fillId="25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72" xfId="0" applyFont="1" applyBorder="1" applyAlignment="1">
      <alignment horizontal="center" wrapText="1"/>
    </xf>
    <xf numFmtId="0" fontId="6" fillId="0" borderId="22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7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6" fillId="25" borderId="3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6" fillId="25" borderId="12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 vertical="center"/>
    </xf>
    <xf numFmtId="0" fontId="72" fillId="0" borderId="2" xfId="6" applyFont="1" applyBorder="1" applyAlignment="1">
      <alignment horizontal="center"/>
    </xf>
    <xf numFmtId="2" fontId="21" fillId="0" borderId="2" xfId="6" applyNumberFormat="1" applyFont="1" applyFill="1" applyBorder="1" applyAlignment="1">
      <alignment horizontal="left"/>
    </xf>
    <xf numFmtId="0" fontId="28" fillId="0" borderId="2" xfId="5" applyFont="1" applyBorder="1" applyAlignment="1">
      <alignment horizontal="left" vertical="top" wrapText="1"/>
    </xf>
    <xf numFmtId="0" fontId="96" fillId="17" borderId="56" xfId="6" applyFont="1" applyFill="1" applyBorder="1" applyAlignment="1">
      <alignment horizontal="center"/>
    </xf>
    <xf numFmtId="0" fontId="96" fillId="17" borderId="20" xfId="6" applyFont="1" applyFill="1" applyBorder="1" applyAlignment="1">
      <alignment horizontal="center"/>
    </xf>
    <xf numFmtId="0" fontId="96" fillId="17" borderId="2" xfId="6" applyFont="1" applyFill="1" applyBorder="1" applyAlignment="1">
      <alignment horizontal="center"/>
    </xf>
    <xf numFmtId="0" fontId="96" fillId="0" borderId="56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95" fillId="0" borderId="0" xfId="9" applyFont="1" applyBorder="1" applyAlignment="1">
      <alignment horizontal="center"/>
    </xf>
    <xf numFmtId="0" fontId="95" fillId="0" borderId="0" xfId="9" applyFont="1" applyBorder="1" applyAlignment="1">
      <alignment horizontal="center" vertical="top" wrapText="1"/>
    </xf>
    <xf numFmtId="0" fontId="116" fillId="0" borderId="2" xfId="12" applyFont="1" applyBorder="1" applyAlignment="1">
      <alignment horizontal="center" vertical="top" wrapText="1"/>
    </xf>
    <xf numFmtId="0" fontId="73" fillId="0" borderId="2" xfId="12" applyFont="1" applyBorder="1" applyAlignment="1">
      <alignment horizontal="center" vertical="top" wrapText="1"/>
    </xf>
    <xf numFmtId="0" fontId="95" fillId="10" borderId="2" xfId="0" applyFont="1" applyFill="1" applyBorder="1" applyAlignment="1">
      <alignment horizontal="left"/>
    </xf>
    <xf numFmtId="0" fontId="95" fillId="10" borderId="2" xfId="0" applyFont="1" applyFill="1" applyBorder="1" applyAlignment="1">
      <alignment horizontal="center"/>
    </xf>
    <xf numFmtId="0" fontId="95" fillId="10" borderId="2" xfId="0" applyFont="1" applyFill="1" applyBorder="1" applyAlignment="1">
      <alignment horizontal="center" vertical="center"/>
    </xf>
    <xf numFmtId="0" fontId="116" fillId="0" borderId="2" xfId="4" applyFont="1" applyBorder="1" applyAlignment="1">
      <alignment horizontal="center" vertical="top" wrapText="1"/>
    </xf>
    <xf numFmtId="0" fontId="73" fillId="0" borderId="2" xfId="4" applyFont="1" applyBorder="1" applyAlignment="1">
      <alignment horizontal="center" vertical="top" wrapText="1"/>
    </xf>
    <xf numFmtId="0" fontId="7" fillId="10" borderId="67" xfId="0" applyFont="1" applyFill="1" applyBorder="1" applyAlignment="1">
      <alignment horizontal="center"/>
    </xf>
    <xf numFmtId="0" fontId="7" fillId="10" borderId="82" xfId="0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1" fontId="30" fillId="0" borderId="0" xfId="0" applyNumberFormat="1" applyFont="1" applyAlignment="1">
      <alignment horizontal="center"/>
    </xf>
    <xf numFmtId="0" fontId="29" fillId="0" borderId="60" xfId="0" applyFont="1" applyBorder="1" applyAlignment="1">
      <alignment horizontal="right"/>
    </xf>
    <xf numFmtId="1" fontId="32" fillId="8" borderId="73" xfId="0" applyNumberFormat="1" applyFont="1" applyFill="1" applyBorder="1" applyAlignment="1">
      <alignment horizontal="center"/>
    </xf>
    <xf numFmtId="1" fontId="32" fillId="8" borderId="54" xfId="0" applyNumberFormat="1" applyFont="1" applyFill="1" applyBorder="1" applyAlignment="1">
      <alignment horizontal="center"/>
    </xf>
    <xf numFmtId="1" fontId="32" fillId="8" borderId="74" xfId="0" applyNumberFormat="1" applyFont="1" applyFill="1" applyBorder="1" applyAlignment="1">
      <alignment horizontal="center"/>
    </xf>
    <xf numFmtId="0" fontId="32" fillId="0" borderId="73" xfId="0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0" fontId="32" fillId="0" borderId="74" xfId="0" applyFont="1" applyFill="1" applyBorder="1" applyAlignment="1">
      <alignment horizontal="center"/>
    </xf>
    <xf numFmtId="0" fontId="32" fillId="8" borderId="73" xfId="0" applyFont="1" applyFill="1" applyBorder="1" applyAlignment="1">
      <alignment horizontal="center"/>
    </xf>
    <xf numFmtId="0" fontId="32" fillId="8" borderId="74" xfId="0" applyFont="1" applyFill="1" applyBorder="1" applyAlignment="1">
      <alignment horizontal="center"/>
    </xf>
    <xf numFmtId="1" fontId="31" fillId="0" borderId="60" xfId="0" applyNumberFormat="1" applyFont="1" applyBorder="1" applyAlignment="1">
      <alignment horizontal="left"/>
    </xf>
    <xf numFmtId="0" fontId="7" fillId="0" borderId="60" xfId="0" applyFont="1" applyBorder="1" applyAlignment="1">
      <alignment horizontal="center"/>
    </xf>
    <xf numFmtId="0" fontId="7" fillId="10" borderId="48" xfId="0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 vertical="center"/>
    </xf>
    <xf numFmtId="0" fontId="7" fillId="10" borderId="50" xfId="0" applyFont="1" applyFill="1" applyBorder="1" applyAlignment="1">
      <alignment horizontal="center" vertical="center"/>
    </xf>
    <xf numFmtId="0" fontId="7" fillId="10" borderId="39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2" fillId="2" borderId="67" xfId="0" applyFont="1" applyFill="1" applyBorder="1" applyAlignment="1">
      <alignment horizontal="center" vertical="center"/>
    </xf>
    <xf numFmtId="0" fontId="22" fillId="2" borderId="82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49" fontId="22" fillId="2" borderId="26" xfId="0" applyNumberFormat="1" applyFont="1" applyFill="1" applyBorder="1" applyAlignment="1">
      <alignment horizontal="center" vertical="center"/>
    </xf>
    <xf numFmtId="49" fontId="22" fillId="2" borderId="23" xfId="0" applyNumberFormat="1" applyFont="1" applyFill="1" applyBorder="1" applyAlignment="1">
      <alignment horizontal="center" vertical="center"/>
    </xf>
    <xf numFmtId="49" fontId="22" fillId="2" borderId="36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64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" xfId="6" applyFont="1" applyBorder="1" applyAlignment="1">
      <alignment horizontal="center" vertical="top" wrapText="1"/>
    </xf>
    <xf numFmtId="0" fontId="73" fillId="0" borderId="2" xfId="6" applyFont="1" applyBorder="1" applyAlignment="1">
      <alignment horizontal="center" vertical="top" wrapText="1"/>
    </xf>
    <xf numFmtId="0" fontId="43" fillId="0" borderId="2" xfId="6" applyFont="1" applyBorder="1" applyAlignment="1">
      <alignment horizontal="left"/>
    </xf>
    <xf numFmtId="0" fontId="40" fillId="0" borderId="2" xfId="6" applyFont="1" applyBorder="1" applyAlignment="1">
      <alignment horizontal="center"/>
    </xf>
    <xf numFmtId="0" fontId="40" fillId="0" borderId="2" xfId="6" applyFont="1" applyBorder="1" applyAlignment="1">
      <alignment vertical="top" wrapText="1"/>
    </xf>
    <xf numFmtId="0" fontId="42" fillId="0" borderId="2" xfId="6" applyFont="1" applyBorder="1" applyAlignment="1">
      <alignment horizontal="left" vertical="top" wrapText="1"/>
    </xf>
    <xf numFmtId="0" fontId="73" fillId="17" borderId="56" xfId="6" applyFont="1" applyFill="1" applyBorder="1" applyAlignment="1">
      <alignment horizontal="center"/>
    </xf>
    <xf numFmtId="0" fontId="73" fillId="17" borderId="20" xfId="6" applyFont="1" applyFill="1" applyBorder="1" applyAlignment="1">
      <alignment horizontal="center"/>
    </xf>
    <xf numFmtId="0" fontId="73" fillId="17" borderId="2" xfId="6" applyFont="1" applyFill="1" applyBorder="1" applyAlignment="1">
      <alignment horizontal="center"/>
    </xf>
    <xf numFmtId="0" fontId="42" fillId="0" borderId="2" xfId="6" applyFont="1" applyBorder="1" applyAlignment="1">
      <alignment horizontal="center" vertical="center" wrapText="1"/>
    </xf>
    <xf numFmtId="0" fontId="38" fillId="0" borderId="2" xfId="6" applyFont="1" applyBorder="1" applyAlignment="1">
      <alignment horizontal="center" vertical="center" wrapText="1"/>
    </xf>
    <xf numFmtId="0" fontId="43" fillId="0" borderId="2" xfId="6" applyFont="1" applyBorder="1" applyAlignment="1">
      <alignment horizontal="left" vertical="top"/>
    </xf>
    <xf numFmtId="0" fontId="42" fillId="0" borderId="56" xfId="6" applyFont="1" applyBorder="1" applyAlignment="1">
      <alignment horizontal="center" vertical="center" wrapText="1"/>
    </xf>
    <xf numFmtId="0" fontId="42" fillId="0" borderId="51" xfId="6" applyFont="1" applyBorder="1" applyAlignment="1">
      <alignment horizontal="center" vertical="center" wrapText="1"/>
    </xf>
    <xf numFmtId="0" fontId="42" fillId="0" borderId="20" xfId="6" applyFont="1" applyBorder="1" applyAlignment="1">
      <alignment horizontal="center" vertical="center" wrapText="1"/>
    </xf>
    <xf numFmtId="0" fontId="1" fillId="0" borderId="2" xfId="6" applyFont="1" applyBorder="1" applyAlignment="1">
      <alignment horizontal="left" vertical="top"/>
    </xf>
    <xf numFmtId="0" fontId="116" fillId="0" borderId="2" xfId="5" applyFont="1" applyBorder="1" applyAlignment="1">
      <alignment horizontal="center" vertical="top" wrapText="1"/>
    </xf>
    <xf numFmtId="0" fontId="33" fillId="0" borderId="2" xfId="5" applyFont="1" applyBorder="1" applyAlignment="1">
      <alignment horizontal="left" vertical="top" wrapText="1"/>
    </xf>
    <xf numFmtId="0" fontId="47" fillId="0" borderId="0" xfId="11" applyFont="1" applyBorder="1" applyAlignment="1">
      <alignment horizontal="center" vertical="top" wrapText="1"/>
    </xf>
    <xf numFmtId="0" fontId="33" fillId="0" borderId="2" xfId="5" applyFont="1" applyBorder="1" applyAlignment="1">
      <alignment horizontal="center"/>
    </xf>
    <xf numFmtId="0" fontId="7" fillId="10" borderId="12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7" fillId="10" borderId="6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42" fillId="0" borderId="0" xfId="11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/>
    <xf numFmtId="0" fontId="75" fillId="0" borderId="0" xfId="0" applyFont="1" applyAlignment="1">
      <alignment horizontal="center" wrapText="1"/>
    </xf>
    <xf numFmtId="0" fontId="75" fillId="0" borderId="72" xfId="0" applyFont="1" applyBorder="1" applyAlignment="1">
      <alignment horizontal="center" wrapText="1"/>
    </xf>
    <xf numFmtId="0" fontId="76" fillId="0" borderId="68" xfId="0" applyFont="1" applyBorder="1" applyAlignment="1">
      <alignment horizontal="center"/>
    </xf>
    <xf numFmtId="0" fontId="35" fillId="0" borderId="0" xfId="8" applyFont="1" applyAlignment="1">
      <alignment horizontal="left"/>
    </xf>
    <xf numFmtId="0" fontId="33" fillId="0" borderId="72" xfId="8" applyFont="1" applyBorder="1" applyAlignment="1">
      <alignment horizontal="right"/>
    </xf>
    <xf numFmtId="0" fontId="33" fillId="0" borderId="61" xfId="8" applyFont="1" applyBorder="1" applyAlignment="1">
      <alignment horizontal="right"/>
    </xf>
    <xf numFmtId="0" fontId="69" fillId="0" borderId="0" xfId="10" applyFont="1" applyAlignment="1">
      <alignment horizontal="center"/>
    </xf>
    <xf numFmtId="0" fontId="68" fillId="0" borderId="0" xfId="10" applyFont="1" applyAlignment="1">
      <alignment horizontal="center"/>
    </xf>
    <xf numFmtId="0" fontId="6" fillId="11" borderId="12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67" xfId="0" applyFont="1" applyFill="1" applyBorder="1" applyAlignment="1">
      <alignment horizontal="center" vertical="top"/>
    </xf>
    <xf numFmtId="0" fontId="6" fillId="11" borderId="82" xfId="0" applyFont="1" applyFill="1" applyBorder="1" applyAlignment="1">
      <alignment horizontal="center" vertical="top"/>
    </xf>
    <xf numFmtId="0" fontId="6" fillId="11" borderId="35" xfId="0" applyFont="1" applyFill="1" applyBorder="1" applyAlignment="1">
      <alignment horizontal="center" vertical="top"/>
    </xf>
    <xf numFmtId="0" fontId="6" fillId="11" borderId="12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13" fillId="0" borderId="0" xfId="0" applyFont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64" xfId="0" applyFont="1" applyFill="1" applyBorder="1" applyAlignment="1">
      <alignment horizontal="center" vertical="top" wrapText="1"/>
    </xf>
    <xf numFmtId="0" fontId="6" fillId="2" borderId="82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36" xfId="0" applyFont="1" applyFill="1" applyBorder="1" applyAlignment="1">
      <alignment horizontal="center" vertical="top" wrapText="1"/>
    </xf>
    <xf numFmtId="0" fontId="74" fillId="11" borderId="56" xfId="0" applyFont="1" applyFill="1" applyBorder="1" applyAlignment="1">
      <alignment horizontal="center" vertical="center"/>
    </xf>
    <xf numFmtId="0" fontId="74" fillId="11" borderId="20" xfId="0" applyFont="1" applyFill="1" applyBorder="1" applyAlignment="1">
      <alignment horizontal="center" vertical="center"/>
    </xf>
    <xf numFmtId="0" fontId="74" fillId="11" borderId="56" xfId="0" applyFont="1" applyFill="1" applyBorder="1" applyAlignment="1">
      <alignment horizontal="center" vertical="center" wrapText="1"/>
    </xf>
    <xf numFmtId="0" fontId="74" fillId="11" borderId="20" xfId="0" applyFont="1" applyFill="1" applyBorder="1" applyAlignment="1">
      <alignment horizontal="center" vertical="center" wrapText="1"/>
    </xf>
    <xf numFmtId="0" fontId="74" fillId="11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justify" vertical="distributed"/>
    </xf>
    <xf numFmtId="0" fontId="7" fillId="2" borderId="23" xfId="0" applyFont="1" applyFill="1" applyBorder="1" applyAlignment="1">
      <alignment horizontal="justify" vertical="distributed"/>
    </xf>
    <xf numFmtId="0" fontId="7" fillId="2" borderId="24" xfId="0" applyFont="1" applyFill="1" applyBorder="1" applyAlignment="1">
      <alignment horizontal="justify" vertical="distributed"/>
    </xf>
    <xf numFmtId="0" fontId="8" fillId="0" borderId="2" xfId="0" applyFont="1" applyBorder="1" applyAlignment="1">
      <alignment horizontal="justify" vertical="distributed" wrapText="1"/>
    </xf>
    <xf numFmtId="0" fontId="7" fillId="0" borderId="0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7" fillId="0" borderId="70" xfId="0" applyFont="1" applyBorder="1" applyAlignment="1">
      <alignment horizontal="right" vertical="distributed"/>
    </xf>
    <xf numFmtId="0" fontId="7" fillId="0" borderId="0" xfId="0" applyFont="1" applyBorder="1" applyAlignment="1">
      <alignment horizontal="right" vertical="distributed"/>
    </xf>
    <xf numFmtId="0" fontId="8" fillId="0" borderId="0" xfId="0" applyFont="1" applyBorder="1" applyAlignment="1">
      <alignment horizontal="right" vertical="distributed"/>
    </xf>
    <xf numFmtId="0" fontId="13" fillId="0" borderId="2" xfId="0" applyNumberFormat="1" applyFont="1" applyBorder="1" applyAlignment="1">
      <alignment horizontal="justify" vertical="distributed"/>
    </xf>
    <xf numFmtId="2" fontId="8" fillId="0" borderId="2" xfId="0" applyNumberFormat="1" applyFont="1" applyBorder="1" applyAlignment="1">
      <alignment horizontal="justify" vertical="distributed"/>
    </xf>
    <xf numFmtId="2" fontId="13" fillId="0" borderId="2" xfId="0" applyNumberFormat="1" applyFont="1" applyBorder="1" applyAlignment="1">
      <alignment horizontal="justify" vertical="distributed"/>
    </xf>
    <xf numFmtId="0" fontId="8" fillId="0" borderId="2" xfId="0" applyFont="1" applyBorder="1" applyAlignment="1">
      <alignment horizontal="justify" vertical="distributed"/>
    </xf>
    <xf numFmtId="0" fontId="13" fillId="0" borderId="2" xfId="0" applyFont="1" applyBorder="1" applyAlignment="1">
      <alignment horizontal="justify" vertical="distributed"/>
    </xf>
    <xf numFmtId="0" fontId="17" fillId="0" borderId="2" xfId="0" applyFont="1" applyBorder="1" applyAlignment="1">
      <alignment horizontal="justify" vertical="distributed"/>
    </xf>
    <xf numFmtId="0" fontId="8" fillId="0" borderId="2" xfId="0" applyNumberFormat="1" applyFont="1" applyBorder="1" applyAlignment="1">
      <alignment horizontal="justify" vertical="distributed"/>
    </xf>
    <xf numFmtId="0" fontId="7" fillId="0" borderId="2" xfId="0" applyFont="1" applyBorder="1" applyAlignment="1">
      <alignment horizontal="justify" vertical="distributed"/>
    </xf>
    <xf numFmtId="0" fontId="16" fillId="0" borderId="0" xfId="0" applyFont="1" applyBorder="1" applyAlignment="1">
      <alignment horizontal="center" vertical="distributed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2" borderId="82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</cellXfs>
  <cellStyles count="26">
    <cellStyle name="Comma" xfId="1" builtinId="3"/>
    <cellStyle name="Hyperlink" xfId="2" builtinId="8"/>
    <cellStyle name="Normal" xfId="0" builtinId="0"/>
    <cellStyle name="Normal 10" xfId="3"/>
    <cellStyle name="Normal 11" xfId="4"/>
    <cellStyle name="Normal 12" xfId="15"/>
    <cellStyle name="Normal 13" xfId="16"/>
    <cellStyle name="Normal 14" xfId="17"/>
    <cellStyle name="Normal 15" xfId="20"/>
    <cellStyle name="Normal 16" xfId="21"/>
    <cellStyle name="Normal 17" xfId="23"/>
    <cellStyle name="Normal 18" xfId="24"/>
    <cellStyle name="Normal 2" xfId="5"/>
    <cellStyle name="Normal 2 2" xfId="19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Percent" xfId="13" builtinId="5"/>
    <cellStyle name="Percent 2" xfId="18"/>
    <cellStyle name="Percent 2 2" xfId="22"/>
    <cellStyle name="Percent 3" xfId="25"/>
    <cellStyle name="Warning Text" xfId="14" builtinId="11" customBuiltin="1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2.xml"/><Relationship Id="rId97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externalLink" Target="externalLinks/externalLink3.xml"/><Relationship Id="rId95" Type="http://schemas.openxmlformats.org/officeDocument/2006/relationships/externalLink" Target="externalLinks/externalLink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externalLink" Target="externalLinks/externalLink6.xml"/><Relationship Id="rId9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1.xml"/><Relationship Id="rId91" Type="http://schemas.openxmlformats.org/officeDocument/2006/relationships/externalLink" Target="externalLinks/externalLink4.xml"/><Relationship Id="rId96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7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180975</xdr:rowOff>
    </xdr:from>
    <xdr:to>
      <xdr:col>10</xdr:col>
      <xdr:colOff>381000</xdr:colOff>
      <xdr:row>35</xdr:row>
      <xdr:rowOff>57150</xdr:rowOff>
    </xdr:to>
    <xdr:pic>
      <xdr:nvPicPr>
        <xdr:cNvPr id="684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952500"/>
          <a:ext cx="8401050" cy="582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dheeraj.nagpal\Downloads\Dheeraj\Patiala\Models_Submission-1_09.11.2012\Model_ARR%20FY%202013-14_v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Administrator/Desktop/Running%20assignments/data%20received%20on%2015nov/F%2017,18,19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November%202012/Loan%20repayment/loan%20balance%20ARR%202013-14-%20Cop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STCL%20op%20balance%20sheet/New%20Folder/Model_ARR%20FY%202013-14-Transmission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heeraj.nagpal/Downloads/Dheeraj/Patiala/Models_Submission-1_09.11.2012/Model_ARR%20FY%202013-14_v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STCL%20op%20balance%20sheet/New%20Folder/Workings%20PSTC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s%20PSTC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ure%20Compilation%20-%20Capex%20Schemes-voltagewise-v1.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_ARR%20FY%202013-14-SLD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_ARR%20FY%202013-14-Transmiss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STCL_Updated%20Models\Model_ARR%20FY%202013-14-SLD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ransmission Charges"/>
      <sheetName val="Control Sheet"/>
      <sheetName val="ARR"/>
      <sheetName val="CB&amp;R"/>
      <sheetName val="Transmission"/>
      <sheetName val="combined"/>
      <sheetName val="Capex Summary sheet"/>
      <sheetName val="F1"/>
      <sheetName val="F1(a)"/>
      <sheetName val="F4"/>
      <sheetName val="F5"/>
      <sheetName val="F8"/>
      <sheetName val="F9"/>
      <sheetName val="F11"/>
      <sheetName val="F12"/>
      <sheetName val="F14"/>
      <sheetName val="F15"/>
      <sheetName val="F16"/>
      <sheetName val="F17"/>
      <sheetName val="F18"/>
      <sheetName val="F19"/>
      <sheetName val="F20"/>
      <sheetName val="F21"/>
      <sheetName val="F21 detailed"/>
      <sheetName val="F22"/>
      <sheetName val="F23"/>
      <sheetName val="F24"/>
      <sheetName val="Funding Pattern"/>
      <sheetName val="Data_TL_consolidated"/>
      <sheetName val="Revised data_Sub-stations"/>
      <sheetName val="Backup data"/>
      <sheetName val="Tx. Charges"/>
      <sheetName val="TransmissionLines-Addition"/>
      <sheetName val="F10"/>
      <sheetName val="O &amp; M Expenses"/>
      <sheetName val="19.11.2011 data Trns.ines"/>
      <sheetName val="F9_data_A &amp; R"/>
      <sheetName val="Data_TL"/>
      <sheetName val="TL_FY11"/>
      <sheetName val="Data_ Substations"/>
      <sheetName val="FY 17_Circuit KM_data_TL"/>
      <sheetName val="F18_data_revised_SS"/>
      <sheetName val="Commissioning Details"/>
      <sheetName val="F18_data_P &amp; M"/>
      <sheetName val="F19_data_revised_SS"/>
      <sheetName val="F19_data_P &amp; M"/>
      <sheetName val="Data_Loan_PSTCL"/>
      <sheetName val="LIC"/>
      <sheetName val="OBC"/>
      <sheetName val="Annual_RECLoan"/>
      <sheetName val="Transco_RECLOAN"/>
      <sheetName val="REC-M"/>
      <sheetName val="REC-Q"/>
      <sheetName val="REC-Y"/>
      <sheetName val="EQI"/>
      <sheetName val="Monthly"/>
      <sheetName val="SBOP-MTL"/>
      <sheetName val="STL"/>
      <sheetName val="F22_data_P &amp; M"/>
      <sheetName val="Capex-FY 11"/>
      <sheetName val="Capex-FY 12-H1"/>
      <sheetName val="Capex-FY 12-H2"/>
      <sheetName val="Capex-FY 13"/>
      <sheetName val="Capex"/>
      <sheetName val="Annexure A-last Petition"/>
      <sheetName val="Annexure B-last Petition"/>
      <sheetName val="SLDC ARR"/>
      <sheetName val="SLDC charges"/>
      <sheetName val="Calculation of Revenue Gap"/>
      <sheetName val="Schedules of Accounts"/>
      <sheetName val="ARR (SLDC)"/>
      <sheetName val="O&amp;M Expenses as per Amended Reg"/>
    </sheetNames>
    <sheetDataSet>
      <sheetData sheetId="0" refreshError="1"/>
      <sheetData sheetId="1" refreshError="1"/>
      <sheetData sheetId="2">
        <row r="3">
          <cell r="C3">
            <v>560</v>
          </cell>
          <cell r="D3">
            <v>560</v>
          </cell>
          <cell r="E3">
            <v>1120</v>
          </cell>
          <cell r="F3">
            <v>711</v>
          </cell>
        </row>
        <row r="4">
          <cell r="C4">
            <v>781</v>
          </cell>
          <cell r="D4">
            <v>781</v>
          </cell>
          <cell r="E4">
            <v>1562</v>
          </cell>
          <cell r="F4">
            <v>1287</v>
          </cell>
        </row>
        <row r="9">
          <cell r="C9">
            <v>0.125</v>
          </cell>
        </row>
        <row r="10">
          <cell r="C10">
            <v>0.14749999999999999</v>
          </cell>
        </row>
        <row r="11">
          <cell r="C11">
            <v>0.32450000000000001</v>
          </cell>
        </row>
        <row r="12">
          <cell r="C12">
            <v>0.155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4">
          <cell r="N24">
            <v>2.6589122399999996E-6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ransmission Charges"/>
      <sheetName val="ARR"/>
      <sheetName val="CB&amp;R"/>
      <sheetName val="F1"/>
      <sheetName val="Expense-New Employees"/>
      <sheetName val="F4"/>
      <sheetName val="F5"/>
      <sheetName val="F8"/>
      <sheetName val="F9"/>
      <sheetName val="F11"/>
      <sheetName val="F12"/>
      <sheetName val="F14"/>
      <sheetName val="F15"/>
      <sheetName val="F16"/>
      <sheetName val="F20"/>
      <sheetName val="F21"/>
      <sheetName val="F21_Actuals"/>
      <sheetName val="F22"/>
      <sheetName val="F24"/>
      <sheetName val="F23"/>
      <sheetName val="F10"/>
      <sheetName val="F17"/>
      <sheetName val="F18"/>
      <sheetName val="F19"/>
      <sheetName val="Capex"/>
      <sheetName val="SLDC char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3">
          <cell r="K13">
            <v>167</v>
          </cell>
          <cell r="P13">
            <v>114</v>
          </cell>
          <cell r="T13">
            <v>22</v>
          </cell>
          <cell r="X13">
            <v>68</v>
          </cell>
          <cell r="AB13">
            <v>17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C"/>
      <sheetName val="Sheet1"/>
      <sheetName val="REC-M"/>
      <sheetName val="REC-Q"/>
      <sheetName val="REC-Y"/>
      <sheetName val="REC-Y ,Tranco"/>
      <sheetName val="REC-Total"/>
      <sheetName val="SBOP-MTL"/>
      <sheetName val="O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G7">
            <v>364970924</v>
          </cell>
          <cell r="K7">
            <v>408373249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employee projec"/>
      <sheetName val="New recruitment Status"/>
      <sheetName val="combined"/>
      <sheetName val="Transmission"/>
      <sheetName val="Index"/>
      <sheetName val="transmission Charges"/>
      <sheetName val="Control Sheet"/>
      <sheetName val="CB&amp;R"/>
      <sheetName val="Capex Summary sheet"/>
      <sheetName val="ARR"/>
      <sheetName val="F1(a)"/>
      <sheetName val="F4"/>
      <sheetName val="F5"/>
      <sheetName val="F8"/>
      <sheetName val="F11"/>
      <sheetName val="F12 "/>
      <sheetName val="F14"/>
      <sheetName val="F17"/>
      <sheetName val="F18"/>
      <sheetName val="F19"/>
      <sheetName val="F22"/>
      <sheetName val="F23"/>
      <sheetName val="F24"/>
      <sheetName val="Funding Pattern"/>
      <sheetName val="Data_TL_consolidated"/>
      <sheetName val="Revised data_Sub-stations"/>
      <sheetName val="Backup data"/>
      <sheetName val="Tx. Charges"/>
      <sheetName val="TransmissionLines-Addition"/>
      <sheetName val="F10"/>
      <sheetName val="O &amp; M Expenses"/>
      <sheetName val="19.11.2011 data Trns.ines"/>
      <sheetName val="F9_data_A &amp; R"/>
      <sheetName val="Data_TL"/>
      <sheetName val="TL_FY11"/>
      <sheetName val="Data_ Substations"/>
      <sheetName val="FY 17_Circuit KM_data_TL"/>
      <sheetName val="F18_data_revised_SS"/>
      <sheetName val="Commissioning Details"/>
      <sheetName val="F18_data_P &amp; M"/>
      <sheetName val="F19_data_revised_SS"/>
      <sheetName val="F19_data_P &amp; M"/>
      <sheetName val="Data_Loan_PSTCL"/>
      <sheetName val="LIC"/>
      <sheetName val="OBC"/>
      <sheetName val="Annual_RECLoan"/>
      <sheetName val="Transco_RECLOAN"/>
      <sheetName val="REC-M"/>
      <sheetName val="REC-Q"/>
      <sheetName val="REC-Y"/>
      <sheetName val="EQI"/>
      <sheetName val="Monthly"/>
      <sheetName val="SBOP-MTL"/>
      <sheetName val="STL"/>
      <sheetName val="F22_data_P &amp; M"/>
      <sheetName val="Capex-FY 11"/>
      <sheetName val="Capex-FY 12-H1"/>
      <sheetName val="Capex-FY 12-H2"/>
      <sheetName val="Capex-FY 13"/>
      <sheetName val="Capex"/>
      <sheetName val="Annexure A-last Petition"/>
      <sheetName val="Annexure B-last Petition"/>
      <sheetName val="SLDC ARR"/>
      <sheetName val="SLDC charges"/>
      <sheetName val="Calculation of Revenue Gap"/>
      <sheetName val="Schedules of Accounts"/>
      <sheetName val="ARR (SLDC)"/>
      <sheetName val="O&amp;M Expenses as per Amended Reg"/>
      <sheetName val="Tariff For FY 14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534.84740783424252</v>
          </cell>
          <cell r="D3">
            <v>534.84740783424252</v>
          </cell>
          <cell r="E3">
            <v>1069.694815668485</v>
          </cell>
          <cell r="F3">
            <v>990.18327759898466</v>
          </cell>
        </row>
        <row r="4">
          <cell r="C4">
            <v>770.97979121679532</v>
          </cell>
          <cell r="D4">
            <v>770.97979121679532</v>
          </cell>
          <cell r="E4">
            <v>1541.9595824335906</v>
          </cell>
          <cell r="F4">
            <v>1446.3469219483711</v>
          </cell>
        </row>
        <row r="9">
          <cell r="C9">
            <v>0.125</v>
          </cell>
        </row>
        <row r="10">
          <cell r="C10">
            <v>0.14749999999999999</v>
          </cell>
        </row>
        <row r="11">
          <cell r="C11">
            <v>0.32450000000000001</v>
          </cell>
        </row>
        <row r="12">
          <cell r="C12">
            <v>0.155</v>
          </cell>
        </row>
      </sheetData>
      <sheetData sheetId="7" refreshError="1"/>
      <sheetData sheetId="8">
        <row r="18">
          <cell r="D18">
            <v>425.50335487411678</v>
          </cell>
        </row>
      </sheetData>
      <sheetData sheetId="9">
        <row r="11">
          <cell r="L11">
            <v>379.93</v>
          </cell>
        </row>
      </sheetData>
      <sheetData sheetId="10">
        <row r="24">
          <cell r="N24">
            <v>2.6589122399999996E-6</v>
          </cell>
        </row>
      </sheetData>
      <sheetData sheetId="11" refreshError="1"/>
      <sheetData sheetId="12" refreshError="1"/>
      <sheetData sheetId="13">
        <row r="10">
          <cell r="L10">
            <v>40</v>
          </cell>
          <cell r="M10">
            <v>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G11">
            <v>401.97</v>
          </cell>
        </row>
      </sheetData>
      <sheetData sheetId="23">
        <row r="7">
          <cell r="G7">
            <v>1060.1348156684851</v>
          </cell>
          <cell r="H7">
            <v>981.58327759898464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6">
          <cell r="F56">
            <v>0</v>
          </cell>
          <cell r="M56">
            <v>-120.32000000000001</v>
          </cell>
          <cell r="N56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23">
          <cell r="D23">
            <v>2204664337</v>
          </cell>
          <cell r="J23">
            <v>409166333</v>
          </cell>
          <cell r="O23">
            <v>215475198.755</v>
          </cell>
        </row>
        <row r="30">
          <cell r="D30">
            <v>1795498004</v>
          </cell>
          <cell r="J30">
            <v>409166333</v>
          </cell>
          <cell r="O30">
            <v>170991542.125</v>
          </cell>
        </row>
      </sheetData>
      <sheetData sheetId="44">
        <row r="16">
          <cell r="S16">
            <v>2118428570</v>
          </cell>
          <cell r="T16">
            <v>268694951</v>
          </cell>
        </row>
        <row r="32">
          <cell r="R32">
            <v>571714286</v>
          </cell>
          <cell r="S32">
            <v>1546714284</v>
          </cell>
          <cell r="T32">
            <v>205388430</v>
          </cell>
        </row>
        <row r="48">
          <cell r="R48">
            <v>571714284</v>
          </cell>
          <cell r="T48">
            <v>142081912</v>
          </cell>
        </row>
      </sheetData>
      <sheetData sheetId="45" refreshError="1"/>
      <sheetData sheetId="46" refreshError="1"/>
      <sheetData sheetId="47">
        <row r="3">
          <cell r="D3">
            <v>273208992</v>
          </cell>
        </row>
        <row r="16">
          <cell r="C16">
            <v>54641820</v>
          </cell>
          <cell r="E16">
            <v>23373962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>
        <row r="3">
          <cell r="H3">
            <v>500000000</v>
          </cell>
          <cell r="L3">
            <v>388880000</v>
          </cell>
        </row>
        <row r="16">
          <cell r="G16">
            <v>111120000</v>
          </cell>
          <cell r="I16">
            <v>55013299</v>
          </cell>
          <cell r="K16">
            <v>111120000</v>
          </cell>
          <cell r="M16">
            <v>41678900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5">
          <cell r="E5">
            <v>1083032747</v>
          </cell>
        </row>
        <row r="6">
          <cell r="E6">
            <v>31117724</v>
          </cell>
        </row>
        <row r="7">
          <cell r="E7">
            <v>428273367</v>
          </cell>
        </row>
        <row r="8">
          <cell r="E8">
            <v>193955672</v>
          </cell>
        </row>
        <row r="11">
          <cell r="E11">
            <v>11073852</v>
          </cell>
        </row>
        <row r="12">
          <cell r="E12">
            <v>9040352</v>
          </cell>
        </row>
        <row r="13">
          <cell r="E13">
            <v>0</v>
          </cell>
        </row>
        <row r="14">
          <cell r="E14">
            <v>845750</v>
          </cell>
        </row>
        <row r="16">
          <cell r="E16">
            <v>2496546</v>
          </cell>
        </row>
        <row r="17">
          <cell r="E17">
            <v>323435764</v>
          </cell>
        </row>
        <row r="18">
          <cell r="E18">
            <v>559000000</v>
          </cell>
        </row>
        <row r="25">
          <cell r="E25">
            <v>182622000</v>
          </cell>
        </row>
        <row r="27">
          <cell r="E27">
            <v>714819841</v>
          </cell>
        </row>
        <row r="97">
          <cell r="D97">
            <v>38945288388</v>
          </cell>
        </row>
        <row r="98">
          <cell r="D98">
            <v>3066800783</v>
          </cell>
        </row>
        <row r="102">
          <cell r="D102">
            <v>726821036</v>
          </cell>
        </row>
        <row r="168">
          <cell r="E168">
            <v>16506200000</v>
          </cell>
          <cell r="F168">
            <v>500000</v>
          </cell>
          <cell r="G168">
            <v>0</v>
          </cell>
        </row>
        <row r="221">
          <cell r="E221">
            <v>290745183</v>
          </cell>
        </row>
        <row r="222">
          <cell r="E222">
            <v>354711180</v>
          </cell>
        </row>
        <row r="223">
          <cell r="E223">
            <v>279946611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ransmission Charges"/>
      <sheetName val="Control Sheet"/>
      <sheetName val="ARR"/>
      <sheetName val="CB&amp;R"/>
      <sheetName val="Transmission"/>
      <sheetName val="combined"/>
      <sheetName val="Capex Summary sheet"/>
      <sheetName val="F1"/>
      <sheetName val="F1(a)"/>
      <sheetName val="F4"/>
      <sheetName val="F5"/>
      <sheetName val="F8"/>
      <sheetName val="F9"/>
      <sheetName val="F11"/>
      <sheetName val="F12"/>
      <sheetName val="F14"/>
      <sheetName val="F15"/>
      <sheetName val="F16"/>
      <sheetName val="F17"/>
      <sheetName val="F18"/>
      <sheetName val="F19"/>
      <sheetName val="F20"/>
      <sheetName val="F21"/>
      <sheetName val="F21 detailed"/>
      <sheetName val="F22"/>
      <sheetName val="F23"/>
      <sheetName val="F24"/>
      <sheetName val="Funding Pattern"/>
      <sheetName val="Data_TL_consolidated"/>
      <sheetName val="Revised data_Sub-stations"/>
      <sheetName val="Backup data"/>
      <sheetName val="Tx. Charges"/>
      <sheetName val="TransmissionLines-Addition"/>
      <sheetName val="F10"/>
      <sheetName val="O &amp; M Expenses"/>
      <sheetName val="19.11.2011 data Trns.ines"/>
      <sheetName val="F9_data_A &amp; R"/>
      <sheetName val="Data_TL"/>
      <sheetName val="TL_FY11"/>
      <sheetName val="Data_ Substations"/>
      <sheetName val="FY 17_Circuit KM_data_TL"/>
      <sheetName val="F18_data_revised_SS"/>
      <sheetName val="Commissioning Details"/>
      <sheetName val="F18_data_P &amp; M"/>
      <sheetName val="F19_data_revised_SS"/>
      <sheetName val="F19_data_P &amp; M"/>
      <sheetName val="Data_Loan_PSTCL"/>
      <sheetName val="LIC"/>
      <sheetName val="OBC"/>
      <sheetName val="Annual_RECLoan"/>
      <sheetName val="Transco_RECLOAN"/>
      <sheetName val="REC-M"/>
      <sheetName val="REC-Q"/>
      <sheetName val="REC-Y"/>
      <sheetName val="EQI"/>
      <sheetName val="Monthly"/>
      <sheetName val="SBOP-MTL"/>
      <sheetName val="STL"/>
      <sheetName val="F22_data_P &amp; M"/>
      <sheetName val="Capex-FY 11"/>
      <sheetName val="Capex-FY 12-H1"/>
      <sheetName val="Capex-FY 12-H2"/>
      <sheetName val="Capex-FY 13"/>
      <sheetName val="Capex"/>
      <sheetName val="Annexure A-last Petition"/>
      <sheetName val="Annexure B-last Petition"/>
      <sheetName val="SLDC ARR"/>
      <sheetName val="SLDC charges"/>
      <sheetName val="Calculation of Revenue Gap"/>
      <sheetName val="Schedules of Accounts"/>
      <sheetName val="ARR (SLDC)"/>
      <sheetName val="O&amp;M Expenses as per Amended Reg"/>
    </sheetNames>
    <sheetDataSet>
      <sheetData sheetId="0" refreshError="1"/>
      <sheetData sheetId="1" refreshError="1"/>
      <sheetData sheetId="2">
        <row r="3">
          <cell r="C3">
            <v>560</v>
          </cell>
          <cell r="D3">
            <v>560</v>
          </cell>
          <cell r="E3">
            <v>1120</v>
          </cell>
          <cell r="F3">
            <v>711</v>
          </cell>
        </row>
        <row r="4">
          <cell r="C4">
            <v>781</v>
          </cell>
          <cell r="D4">
            <v>781</v>
          </cell>
          <cell r="E4">
            <v>1562</v>
          </cell>
          <cell r="F4">
            <v>1287</v>
          </cell>
        </row>
        <row r="9">
          <cell r="C9">
            <v>0.125</v>
          </cell>
        </row>
        <row r="10">
          <cell r="C10">
            <v>0.14749999999999999</v>
          </cell>
        </row>
        <row r="11">
          <cell r="C11">
            <v>0.32450000000000001</v>
          </cell>
        </row>
        <row r="12">
          <cell r="C12">
            <v>0.155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4">
          <cell r="N24">
            <v>2.6589122399999996E-6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rms for employee Addition"/>
      <sheetName val="Additional employees n Securt"/>
      <sheetName val="Substations increments"/>
      <sheetName val="F17"/>
      <sheetName val="Add. Employee cost_New Install"/>
      <sheetName val="Revised projections for Empl Ex"/>
      <sheetName val="Employee exp from Sep -12 Salar"/>
      <sheetName val="employee numbers actuals"/>
      <sheetName val="Retirments - H2"/>
      <sheetName val="New recruitment Status"/>
      <sheetName val="New employee projec"/>
      <sheetName val="New recruits"/>
      <sheetName val="installed cap PSEB 31.3.11"/>
      <sheetName val="Employee exp from Sep -12 Sal2"/>
    </sheetNames>
    <sheetDataSet>
      <sheetData sheetId="0">
        <row r="13">
          <cell r="L13">
            <v>22</v>
          </cell>
        </row>
      </sheetData>
      <sheetData sheetId="1">
        <row r="46">
          <cell r="N46">
            <v>6.8472</v>
          </cell>
        </row>
      </sheetData>
      <sheetData sheetId="2" refreshError="1"/>
      <sheetData sheetId="3" refreshError="1"/>
      <sheetData sheetId="4" refreshError="1"/>
      <sheetData sheetId="5">
        <row r="7">
          <cell r="D7">
            <v>44.203084199999999</v>
          </cell>
          <cell r="F7">
            <v>95.270985851999995</v>
          </cell>
        </row>
        <row r="12">
          <cell r="D12">
            <v>33.297327470999996</v>
          </cell>
          <cell r="F12">
            <v>78.122208398639984</v>
          </cell>
        </row>
        <row r="18">
          <cell r="D18">
            <v>14.264725260000002</v>
          </cell>
          <cell r="F18">
            <v>30.755095755599996</v>
          </cell>
        </row>
        <row r="20">
          <cell r="D20">
            <v>7.01</v>
          </cell>
          <cell r="F20">
            <v>13.3</v>
          </cell>
        </row>
        <row r="22">
          <cell r="D22">
            <v>13.45</v>
          </cell>
          <cell r="F22">
            <v>14</v>
          </cell>
        </row>
        <row r="24">
          <cell r="D24">
            <v>13.74</v>
          </cell>
          <cell r="F24">
            <v>33.133458069767443</v>
          </cell>
        </row>
        <row r="26">
          <cell r="D26">
            <v>10.52</v>
          </cell>
          <cell r="F26">
            <v>13.32</v>
          </cell>
        </row>
        <row r="28">
          <cell r="D28">
            <v>20.2449178</v>
          </cell>
          <cell r="F28">
            <v>26.400000000000002</v>
          </cell>
        </row>
        <row r="30">
          <cell r="D30">
            <v>12.87</v>
          </cell>
          <cell r="F30">
            <v>12.87</v>
          </cell>
        </row>
        <row r="32">
          <cell r="D32">
            <v>1.9268718000000002</v>
          </cell>
          <cell r="F32">
            <v>3.9693559080000007</v>
          </cell>
        </row>
        <row r="34">
          <cell r="D34">
            <v>0.67172582999999997</v>
          </cell>
          <cell r="F34">
            <v>1.3434516599999999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AE (Electrical)</v>
          </cell>
        </row>
      </sheetData>
      <sheetData sheetId="12">
        <row r="32">
          <cell r="E32">
            <v>13385.35</v>
          </cell>
        </row>
      </sheetData>
      <sheetData sheetId="13">
        <row r="65">
          <cell r="W6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rms for employee Addition"/>
      <sheetName val="Additional employees n Securt"/>
      <sheetName val="Substations increments"/>
      <sheetName val="F17"/>
      <sheetName val="Add. Employee cost_New Install"/>
      <sheetName val="Revised projections for Empl Ex"/>
      <sheetName val="Employee exp from Sep -12 Salar"/>
      <sheetName val="employee numbers actuals"/>
      <sheetName val="Retirments - H2"/>
      <sheetName val="New recruitment Status"/>
      <sheetName val="New employee projec"/>
      <sheetName val="New recruits"/>
      <sheetName val="installed cap PSEB 31.3.11"/>
      <sheetName val="Employee exp from Sep -12 Sal2"/>
    </sheetNames>
    <sheetDataSet>
      <sheetData sheetId="0">
        <row r="13">
          <cell r="L13">
            <v>22</v>
          </cell>
        </row>
      </sheetData>
      <sheetData sheetId="1">
        <row r="46">
          <cell r="N46">
            <v>6.8472</v>
          </cell>
        </row>
        <row r="48">
          <cell r="N48">
            <v>2.5676999999999999</v>
          </cell>
        </row>
      </sheetData>
      <sheetData sheetId="2"/>
      <sheetData sheetId="3"/>
      <sheetData sheetId="4"/>
      <sheetData sheetId="5">
        <row r="7">
          <cell r="D7">
            <v>44.203084199999999</v>
          </cell>
          <cell r="F7">
            <v>95.270985851999995</v>
          </cell>
        </row>
        <row r="12">
          <cell r="D12">
            <v>33.297327470999996</v>
          </cell>
          <cell r="F12">
            <v>78.122208398639984</v>
          </cell>
        </row>
        <row r="18">
          <cell r="D18">
            <v>14.264725260000002</v>
          </cell>
          <cell r="F18">
            <v>30.755095755599996</v>
          </cell>
        </row>
        <row r="20">
          <cell r="D20">
            <v>7.01</v>
          </cell>
          <cell r="F20">
            <v>13.3</v>
          </cell>
        </row>
        <row r="22">
          <cell r="D22">
            <v>13.45</v>
          </cell>
          <cell r="F22">
            <v>14</v>
          </cell>
        </row>
        <row r="24">
          <cell r="D24">
            <v>13.74</v>
          </cell>
          <cell r="F24">
            <v>33.133458069767443</v>
          </cell>
        </row>
        <row r="26">
          <cell r="D26">
            <v>10.52</v>
          </cell>
          <cell r="F26">
            <v>13.32</v>
          </cell>
        </row>
        <row r="28">
          <cell r="D28">
            <v>20.2449178</v>
          </cell>
          <cell r="F28">
            <v>26.400000000000002</v>
          </cell>
        </row>
        <row r="30">
          <cell r="D30">
            <v>12.87</v>
          </cell>
          <cell r="F30">
            <v>12.87</v>
          </cell>
        </row>
        <row r="32">
          <cell r="D32">
            <v>1.9268718000000002</v>
          </cell>
          <cell r="F32">
            <v>3.9693559080000007</v>
          </cell>
        </row>
        <row r="34">
          <cell r="D34">
            <v>0.67172582999999997</v>
          </cell>
          <cell r="F34">
            <v>1.3434516599999999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B3" t="str">
            <v>AE (Electrical)</v>
          </cell>
          <cell r="C3">
            <v>117</v>
          </cell>
          <cell r="D3">
            <v>28</v>
          </cell>
          <cell r="E3">
            <v>89</v>
          </cell>
          <cell r="F3">
            <v>32</v>
          </cell>
        </row>
        <row r="4">
          <cell r="B4" t="str">
            <v>AE (Civil)</v>
          </cell>
          <cell r="C4">
            <v>11</v>
          </cell>
          <cell r="D4">
            <v>6</v>
          </cell>
          <cell r="E4">
            <v>5</v>
          </cell>
          <cell r="F4">
            <v>2</v>
          </cell>
        </row>
        <row r="5">
          <cell r="B5" t="str">
            <v>JE (Electrical)</v>
          </cell>
          <cell r="C5">
            <v>158</v>
          </cell>
          <cell r="D5">
            <v>81</v>
          </cell>
          <cell r="E5">
            <v>77</v>
          </cell>
          <cell r="F5">
            <v>28</v>
          </cell>
        </row>
        <row r="6">
          <cell r="B6" t="str">
            <v>JE (Civil)</v>
          </cell>
          <cell r="C6">
            <v>44</v>
          </cell>
          <cell r="D6">
            <v>17</v>
          </cell>
          <cell r="E6">
            <v>27</v>
          </cell>
          <cell r="F6">
            <v>10</v>
          </cell>
        </row>
        <row r="7">
          <cell r="B7" t="str">
            <v>Asstt. Manager (IT)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</row>
        <row r="8">
          <cell r="B8" t="str">
            <v>Asstt. Manager (HR)</v>
          </cell>
          <cell r="C8">
            <v>2</v>
          </cell>
          <cell r="D8">
            <v>1</v>
          </cell>
          <cell r="E8">
            <v>1</v>
          </cell>
          <cell r="F8">
            <v>0</v>
          </cell>
        </row>
        <row r="9">
          <cell r="B9" t="str">
            <v>Accounts Officer</v>
          </cell>
          <cell r="C9">
            <v>6</v>
          </cell>
          <cell r="D9">
            <v>3</v>
          </cell>
          <cell r="E9">
            <v>3</v>
          </cell>
          <cell r="F9">
            <v>1</v>
          </cell>
        </row>
        <row r="10">
          <cell r="B10" t="str">
            <v>Law Officer Gr-II</v>
          </cell>
          <cell r="C10">
            <v>2</v>
          </cell>
          <cell r="D10">
            <v>2</v>
          </cell>
          <cell r="E10">
            <v>0</v>
          </cell>
          <cell r="F10">
            <v>0</v>
          </cell>
        </row>
        <row r="11">
          <cell r="B11" t="str">
            <v>SSA</v>
          </cell>
          <cell r="C11">
            <v>325</v>
          </cell>
          <cell r="D11">
            <v>96</v>
          </cell>
          <cell r="E11">
            <v>229</v>
          </cell>
          <cell r="F11">
            <v>83</v>
          </cell>
        </row>
        <row r="12">
          <cell r="B12" t="str">
            <v>Accountant</v>
          </cell>
          <cell r="C12">
            <v>10</v>
          </cell>
          <cell r="D12">
            <v>0</v>
          </cell>
          <cell r="E12">
            <v>10</v>
          </cell>
          <cell r="F12">
            <v>4</v>
          </cell>
        </row>
        <row r="13">
          <cell r="B13" t="str">
            <v>UDC (General)</v>
          </cell>
          <cell r="C13">
            <v>60</v>
          </cell>
          <cell r="D13">
            <v>0</v>
          </cell>
          <cell r="E13">
            <v>60</v>
          </cell>
          <cell r="F13">
            <v>22</v>
          </cell>
        </row>
        <row r="14">
          <cell r="B14" t="str">
            <v>UDC (Accounts)</v>
          </cell>
          <cell r="C14">
            <v>20</v>
          </cell>
          <cell r="D14">
            <v>0</v>
          </cell>
          <cell r="E14">
            <v>20</v>
          </cell>
          <cell r="F14">
            <v>7</v>
          </cell>
        </row>
        <row r="15">
          <cell r="B15" t="str">
            <v>Electrician Gr-II</v>
          </cell>
          <cell r="C15">
            <v>24</v>
          </cell>
          <cell r="D15">
            <v>4</v>
          </cell>
          <cell r="E15">
            <v>20</v>
          </cell>
          <cell r="F15">
            <v>7</v>
          </cell>
        </row>
        <row r="16">
          <cell r="B16" t="str">
            <v>Draftsman (Autocad) Electrical</v>
          </cell>
          <cell r="C16">
            <v>10</v>
          </cell>
          <cell r="D16">
            <v>0</v>
          </cell>
          <cell r="E16">
            <v>10</v>
          </cell>
          <cell r="F16">
            <v>4</v>
          </cell>
        </row>
        <row r="17">
          <cell r="B17" t="str">
            <v>Draftsman (Autocad) Civil</v>
          </cell>
          <cell r="C17">
            <v>3</v>
          </cell>
          <cell r="D17">
            <v>0</v>
          </cell>
          <cell r="E17">
            <v>3</v>
          </cell>
          <cell r="F17">
            <v>1</v>
          </cell>
        </row>
      </sheetData>
      <sheetData sheetId="12">
        <row r="32">
          <cell r="E32">
            <v>13385.35</v>
          </cell>
        </row>
      </sheetData>
      <sheetData sheetId="13">
        <row r="65">
          <cell r="W6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ransmission Charges"/>
      <sheetName val="ARR"/>
      <sheetName val="CB&amp;R"/>
      <sheetName val="F1"/>
      <sheetName val="Expense-New Employees"/>
      <sheetName val="F4"/>
      <sheetName val="F5"/>
      <sheetName val="F8"/>
      <sheetName val="F9"/>
      <sheetName val="F11"/>
      <sheetName val="F12"/>
      <sheetName val="F14"/>
      <sheetName val="F15"/>
      <sheetName val="F16"/>
      <sheetName val="F20"/>
      <sheetName val="F21"/>
      <sheetName val="F21_Actuals"/>
      <sheetName val="F22"/>
      <sheetName val="F24"/>
      <sheetName val="F23"/>
      <sheetName val="F10"/>
      <sheetName val="Capex"/>
      <sheetName val="SLDC charges"/>
      <sheetName val="400 kV lat"/>
      <sheetName val="Capex-Transmission FinaL 22 lat"/>
      <sheetName val="Capex-Transmission FinaL 13 lat"/>
      <sheetName val="Sheet1"/>
      <sheetName val="Sheet2"/>
      <sheetName val="Sheet3"/>
      <sheetName val="132kV"/>
      <sheetName val="220kV"/>
      <sheetName val="Check"/>
      <sheetName val="400kV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8">
          <cell r="E8">
            <v>106969.4815668485</v>
          </cell>
          <cell r="F8">
            <v>154195.95824335905</v>
          </cell>
          <cell r="H8">
            <v>99018.327759898471</v>
          </cell>
          <cell r="I8">
            <v>144634.69219483712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recruits"/>
      <sheetName val="New employee projec"/>
      <sheetName val="Employee exp from Sep -12 Salar"/>
      <sheetName val="Index"/>
      <sheetName val="CB&amp;R"/>
      <sheetName val="SLDC tables"/>
      <sheetName val="O&amp;M"/>
      <sheetName val="ARR (SLDC)"/>
      <sheetName val="F1"/>
      <sheetName val="F1-Modified"/>
      <sheetName val="F2"/>
      <sheetName val="F1(a)"/>
      <sheetName val="F3"/>
      <sheetName val="F4"/>
      <sheetName val="F8"/>
      <sheetName val="F9"/>
      <sheetName val="F12"/>
      <sheetName val="F14"/>
      <sheetName val="Cap-ex_SLDC"/>
      <sheetName val="F15"/>
      <sheetName val="F15-Modified"/>
      <sheetName val="F16"/>
      <sheetName val="F17"/>
      <sheetName val="F18"/>
      <sheetName val="SLDC Charges"/>
      <sheetName val="Assets-details given by SLDC"/>
      <sheetName val="CAPEX-Last Year Petition"/>
      <sheetName val="Sheet1"/>
      <sheetName val="Capex-FY 11"/>
      <sheetName val="Capex-FY 12-H1"/>
      <sheetName val="Capex-FY 12-H2"/>
      <sheetName val="Capex-FY 13"/>
      <sheetName val="Assets-details given by SL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40">
          <cell r="G40">
            <v>8.89</v>
          </cell>
          <cell r="H40">
            <v>4.54</v>
          </cell>
          <cell r="K40">
            <v>9.0129999999999981</v>
          </cell>
          <cell r="L40">
            <v>10.544</v>
          </cell>
        </row>
      </sheetData>
      <sheetData sheetId="9">
        <row r="40">
          <cell r="G40">
            <v>8.89</v>
          </cell>
          <cell r="H40">
            <v>4.54</v>
          </cell>
          <cell r="K40">
            <v>9.0129999999999981</v>
          </cell>
          <cell r="L40">
            <v>9.06</v>
          </cell>
        </row>
      </sheetData>
      <sheetData sheetId="10" refreshError="1"/>
      <sheetData sheetId="11" refreshError="1"/>
      <sheetData sheetId="12">
        <row r="24">
          <cell r="G24">
            <v>3.19</v>
          </cell>
          <cell r="H24">
            <v>0.18</v>
          </cell>
          <cell r="K24">
            <v>4.0783035724192382</v>
          </cell>
          <cell r="L24">
            <v>8.163310199420188</v>
          </cell>
        </row>
      </sheetData>
      <sheetData sheetId="13">
        <row r="31">
          <cell r="G31">
            <v>1.4040000000000004</v>
          </cell>
          <cell r="H31">
            <v>3.2000000000000001E-2</v>
          </cell>
          <cell r="K31">
            <v>1.7546026282686078</v>
          </cell>
          <cell r="L31">
            <v>2.1120042168145479</v>
          </cell>
        </row>
      </sheetData>
      <sheetData sheetId="14">
        <row r="88">
          <cell r="Z88">
            <v>0.63391023646762845</v>
          </cell>
          <cell r="AB88">
            <v>1.3510025015186145</v>
          </cell>
        </row>
      </sheetData>
      <sheetData sheetId="15">
        <row r="14">
          <cell r="B14" t="str">
            <v>ULDC Charges</v>
          </cell>
          <cell r="E14">
            <v>21</v>
          </cell>
        </row>
        <row r="23">
          <cell r="H23">
            <v>17.3</v>
          </cell>
          <cell r="I23">
            <v>31.4</v>
          </cell>
        </row>
      </sheetData>
      <sheetData sheetId="16">
        <row r="10">
          <cell r="F10">
            <v>0</v>
          </cell>
          <cell r="G10">
            <v>0</v>
          </cell>
          <cell r="H10">
            <v>0</v>
          </cell>
          <cell r="I10">
            <v>1.4999999999999999E-2</v>
          </cell>
        </row>
        <row r="12">
          <cell r="J12">
            <v>5.8449999999999998</v>
          </cell>
          <cell r="K12">
            <v>0.02</v>
          </cell>
        </row>
      </sheetData>
      <sheetData sheetId="17">
        <row r="15">
          <cell r="J15">
            <v>0</v>
          </cell>
          <cell r="K15">
            <v>0</v>
          </cell>
        </row>
      </sheetData>
      <sheetData sheetId="18" refreshError="1"/>
      <sheetData sheetId="19">
        <row r="15">
          <cell r="J15">
            <v>1.2132924384070063</v>
          </cell>
          <cell r="K15">
            <v>2.1574313145749486</v>
          </cell>
        </row>
      </sheetData>
      <sheetData sheetId="20">
        <row r="15">
          <cell r="K15">
            <v>2.0676686490473966</v>
          </cell>
        </row>
      </sheetData>
      <sheetData sheetId="21">
        <row r="17">
          <cell r="K17">
            <v>0.71143749999999994</v>
          </cell>
          <cell r="L17">
            <v>2.5728749999999998</v>
          </cell>
        </row>
      </sheetData>
      <sheetData sheetId="22">
        <row r="10">
          <cell r="E10">
            <v>28.57</v>
          </cell>
        </row>
        <row r="11">
          <cell r="H11">
            <v>28.57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w employee projec"/>
      <sheetName val="New recruitment Status"/>
      <sheetName val="combined"/>
      <sheetName val="Transmission"/>
      <sheetName val="Index"/>
      <sheetName val="transmission Charges"/>
      <sheetName val="Control Sheet"/>
      <sheetName val="CB&amp;R"/>
      <sheetName val="Capex Summary sheet"/>
      <sheetName val="ARR"/>
      <sheetName val="ARR (SLDC)"/>
      <sheetName val="F1"/>
      <sheetName val="F1(a)"/>
      <sheetName val="F1-Modified"/>
      <sheetName val="F4"/>
      <sheetName val="F4-Modified"/>
      <sheetName val="F5"/>
      <sheetName val="F5-Modified"/>
      <sheetName val="F8"/>
      <sheetName val="F9"/>
      <sheetName val="F11"/>
      <sheetName val="F9-Modified"/>
      <sheetName val="F12 "/>
      <sheetName val="F14"/>
      <sheetName val="F15"/>
      <sheetName val="F15-Modified"/>
      <sheetName val="F16"/>
      <sheetName val="F16-Modified"/>
      <sheetName val="F17"/>
      <sheetName val="F18"/>
      <sheetName val="F19"/>
      <sheetName val="F20"/>
      <sheetName val="F20-Modified"/>
      <sheetName val="F21"/>
      <sheetName val="F21-Modified"/>
      <sheetName val="F21 detailed"/>
      <sheetName val="F21 detailed-Modified"/>
      <sheetName val="F22"/>
      <sheetName val="F23"/>
      <sheetName val="F24"/>
      <sheetName val="Funding Pattern"/>
      <sheetName val="Data_TL_consolidated"/>
      <sheetName val="Revised data_Sub-stations"/>
      <sheetName val="Backup data"/>
      <sheetName val="Tx. Charges"/>
      <sheetName val="TransmissionLines-Addition"/>
      <sheetName val="F10"/>
      <sheetName val="O &amp; M Expenses"/>
      <sheetName val="19.11.2011 data Trns.ines"/>
      <sheetName val="F9_data_A &amp; R"/>
      <sheetName val="Data_TL"/>
      <sheetName val="TL_FY11"/>
      <sheetName val="Data_ Substations"/>
      <sheetName val="FY 17_Circuit KM_data_TL"/>
      <sheetName val="F18_data_revised_SS"/>
      <sheetName val="Commissioning Details"/>
      <sheetName val="F18_data_P &amp; M"/>
      <sheetName val="F19_data_revised_SS"/>
      <sheetName val="F19_data_P &amp; M"/>
      <sheetName val="F24-Modified"/>
      <sheetName val="Data_Loan_PSTCL"/>
      <sheetName val="LIC"/>
      <sheetName val="OBC"/>
      <sheetName val="Annual_RECLoan"/>
      <sheetName val="Transco_RECLOAN"/>
      <sheetName val="REC-M"/>
      <sheetName val="REC-Q"/>
      <sheetName val="REC-Y"/>
      <sheetName val="EQI"/>
      <sheetName val="Monthly"/>
      <sheetName val="SBOP-MTL"/>
      <sheetName val="STL"/>
      <sheetName val="F22_data_P &amp; M"/>
      <sheetName val="Capex-FY 11"/>
      <sheetName val="Capex-FY 12-H1"/>
      <sheetName val="Capex-FY 12-H2"/>
      <sheetName val="Capex-FY 13"/>
      <sheetName val="Capex"/>
      <sheetName val="Annexure A-last Petition"/>
      <sheetName val="Annexure B-last Petition"/>
      <sheetName val="SLDC ARR"/>
      <sheetName val="SLDC charges"/>
      <sheetName val="Calculation of Revenue Gap"/>
      <sheetName val="Schedules of Accounts"/>
      <sheetName val="O&amp;M Expenses as per Amended Reg"/>
      <sheetName val="Tariff For FY 1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P25">
            <v>0.33225446595793801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recruits"/>
      <sheetName val="New employee projec"/>
      <sheetName val="Employee exp from Sep -12 Salar"/>
      <sheetName val="Index"/>
      <sheetName val="CB&amp;R"/>
      <sheetName val="SLDC tables"/>
      <sheetName val="O&amp;M"/>
      <sheetName val="ARR (SLDC)"/>
      <sheetName val="F2"/>
      <sheetName val="F1(a)"/>
      <sheetName val="F3"/>
      <sheetName val="F4"/>
      <sheetName val="F8"/>
      <sheetName val="F9"/>
      <sheetName val="F12"/>
      <sheetName val="F14"/>
      <sheetName val="Cap-ex_SLDC"/>
      <sheetName val="F16"/>
      <sheetName val="F17"/>
      <sheetName val="F18"/>
      <sheetName val="SLDC Charges"/>
      <sheetName val="Assets-details given by SLDC"/>
      <sheetName val="CAPEX-Last Year Petition"/>
      <sheetName val="Sheet1"/>
      <sheetName val="Capex-FY 11"/>
      <sheetName val="Capex-FY 12-H1"/>
      <sheetName val="Capex-FY 12-H2"/>
      <sheetName val="Capex-FY 13"/>
      <sheetName val="Assets-details given by SLD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D9">
            <v>8.89</v>
          </cell>
          <cell r="E9">
            <v>4.54</v>
          </cell>
          <cell r="H9">
            <v>9.0129999999999981</v>
          </cell>
          <cell r="I9">
            <v>10.544</v>
          </cell>
        </row>
        <row r="10">
          <cell r="D10">
            <v>3.19</v>
          </cell>
          <cell r="E10">
            <v>0.18</v>
          </cell>
          <cell r="H10">
            <v>4.0783035724192382</v>
          </cell>
          <cell r="I10">
            <v>8.163310199420188</v>
          </cell>
        </row>
        <row r="11">
          <cell r="D11">
            <v>1.4040000000000004</v>
          </cell>
          <cell r="E11">
            <v>3.2000000000000001E-2</v>
          </cell>
          <cell r="H11">
            <v>1.7546026282686078</v>
          </cell>
          <cell r="I11">
            <v>2.1120042168145479</v>
          </cell>
        </row>
        <row r="22">
          <cell r="I22">
            <v>58.612877698286233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H10">
            <v>28.57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view="pageBreakPreview" zoomScale="60" workbookViewId="0">
      <selection activeCell="D39" sqref="D39"/>
    </sheetView>
  </sheetViews>
  <sheetFormatPr defaultRowHeight="15"/>
  <cols>
    <col min="1" max="1" width="3.85546875" style="1599" customWidth="1"/>
    <col min="2" max="2" width="9.42578125" style="1599" customWidth="1"/>
    <col min="3" max="3" width="42" style="1599" bestFit="1" customWidth="1"/>
    <col min="4" max="4" width="16.7109375" style="1599" customWidth="1"/>
    <col min="5" max="5" width="14.42578125" style="1599" customWidth="1"/>
    <col min="6" max="6" width="16.28515625" style="1599" hidden="1" customWidth="1"/>
    <col min="7" max="7" width="16.28515625" style="1599" customWidth="1"/>
    <col min="8" max="8" width="9.140625" style="1599"/>
    <col min="9" max="9" width="18.7109375" style="1599" customWidth="1"/>
    <col min="10" max="11" width="9.140625" style="1599"/>
    <col min="12" max="12" width="22" style="1599" customWidth="1"/>
    <col min="13" max="13" width="18.28515625" style="1599" customWidth="1"/>
    <col min="14" max="14" width="14.85546875" style="1599" customWidth="1"/>
    <col min="15" max="15" width="9.140625" style="1599"/>
    <col min="16" max="16" width="9.140625" style="1599" customWidth="1"/>
    <col min="17" max="17" width="11.85546875" style="1599" customWidth="1"/>
    <col min="18" max="19" width="6.5703125" style="1599" bestFit="1" customWidth="1"/>
    <col min="20" max="20" width="6.5703125" style="1599" customWidth="1"/>
    <col min="21" max="21" width="7.5703125" style="1599" bestFit="1" customWidth="1"/>
    <col min="22" max="22" width="6.5703125" style="1599" bestFit="1" customWidth="1"/>
    <col min="23" max="16384" width="9.140625" style="1599"/>
  </cols>
  <sheetData>
    <row r="1" spans="2:22" s="1592" customFormat="1" ht="15.75" customHeight="1">
      <c r="B1" s="2335" t="s">
        <v>2549</v>
      </c>
      <c r="C1" s="2335"/>
      <c r="D1" s="2335"/>
      <c r="E1" s="2335"/>
      <c r="F1" s="2335"/>
      <c r="G1" s="2335"/>
      <c r="H1" s="2335"/>
      <c r="I1" s="2335"/>
      <c r="J1" s="2335"/>
      <c r="K1" s="2335"/>
      <c r="L1" s="2335"/>
      <c r="M1" s="2335"/>
      <c r="Q1" s="1593"/>
      <c r="R1" s="1593"/>
      <c r="S1" s="1593"/>
    </row>
    <row r="2" spans="2:22" s="1592" customFormat="1" ht="24" customHeight="1">
      <c r="B2" s="2336" t="s">
        <v>1004</v>
      </c>
      <c r="C2" s="2336"/>
      <c r="D2" s="2336"/>
      <c r="E2" s="2336"/>
      <c r="F2" s="2336"/>
      <c r="G2" s="2336"/>
      <c r="H2" s="2336"/>
      <c r="I2" s="2336"/>
      <c r="J2" s="2336"/>
      <c r="K2" s="2336"/>
      <c r="L2" s="2336"/>
      <c r="M2" s="2336"/>
      <c r="Q2" s="1594"/>
      <c r="R2" s="1595"/>
      <c r="S2" s="1595"/>
    </row>
    <row r="3" spans="2:22" s="1592" customFormat="1" ht="15.75" customHeight="1">
      <c r="B3" s="2336" t="s">
        <v>2573</v>
      </c>
      <c r="C3" s="2336"/>
      <c r="D3" s="2336"/>
      <c r="E3" s="2336"/>
      <c r="F3" s="2336"/>
      <c r="G3" s="2336"/>
      <c r="H3" s="2336"/>
      <c r="I3" s="2336"/>
      <c r="J3" s="2336"/>
      <c r="K3" s="2336"/>
      <c r="L3" s="2336"/>
      <c r="M3" s="2336"/>
      <c r="Q3" s="1596"/>
      <c r="R3" s="1597"/>
      <c r="S3" s="1598"/>
    </row>
    <row r="4" spans="2:22" s="1592" customFormat="1" ht="13.5" customHeight="1">
      <c r="B4" s="2337" t="s">
        <v>2570</v>
      </c>
      <c r="C4" s="2337"/>
      <c r="D4" s="2337"/>
      <c r="E4" s="2337"/>
      <c r="F4" s="2337"/>
      <c r="G4" s="2337"/>
      <c r="H4" s="2337"/>
      <c r="I4" s="2337"/>
      <c r="J4" s="2337"/>
      <c r="K4" s="2337"/>
      <c r="L4" s="2337"/>
      <c r="M4" s="2337"/>
      <c r="N4" s="1597"/>
      <c r="O4" s="1598"/>
    </row>
    <row r="5" spans="2:22">
      <c r="B5" s="1599" t="s">
        <v>2590</v>
      </c>
      <c r="N5" s="1600" t="s">
        <v>96</v>
      </c>
    </row>
    <row r="6" spans="2:22">
      <c r="E6" s="1601">
        <v>0.03</v>
      </c>
      <c r="F6" s="1602"/>
      <c r="G6" s="1602">
        <v>0.79</v>
      </c>
      <c r="H6" s="1602">
        <v>0.15</v>
      </c>
      <c r="I6" s="1599">
        <v>500</v>
      </c>
      <c r="J6" s="1599">
        <v>1000</v>
      </c>
      <c r="K6" s="1602">
        <v>0.1</v>
      </c>
      <c r="L6" s="1602"/>
    </row>
    <row r="7" spans="2:22" s="1604" customFormat="1" ht="59.25" customHeight="1">
      <c r="B7" s="1603" t="s">
        <v>1003</v>
      </c>
      <c r="C7" s="1603" t="s">
        <v>2390</v>
      </c>
      <c r="D7" s="1603" t="s">
        <v>2391</v>
      </c>
      <c r="E7" s="1603" t="s">
        <v>2392</v>
      </c>
      <c r="F7" s="1603"/>
      <c r="G7" s="1603" t="s">
        <v>2628</v>
      </c>
      <c r="H7" s="1603" t="s">
        <v>2257</v>
      </c>
      <c r="I7" s="1603" t="s">
        <v>2395</v>
      </c>
      <c r="J7" s="1603" t="s">
        <v>2396</v>
      </c>
      <c r="K7" s="1603" t="s">
        <v>2258</v>
      </c>
      <c r="L7" s="1603" t="s">
        <v>2565</v>
      </c>
      <c r="M7" s="1603" t="s">
        <v>2415</v>
      </c>
      <c r="N7" s="1603" t="s">
        <v>2416</v>
      </c>
      <c r="Q7" s="2334">
        <v>41365</v>
      </c>
      <c r="R7" s="2334"/>
      <c r="S7" s="2334"/>
      <c r="T7" s="2334"/>
      <c r="U7" s="2334"/>
    </row>
    <row r="8" spans="2:22" s="1610" customFormat="1" ht="24.95" customHeight="1">
      <c r="B8" s="1605">
        <v>1</v>
      </c>
      <c r="C8" s="1606" t="s">
        <v>2650</v>
      </c>
      <c r="D8" s="1607">
        <f>VLOOKUP(C8,'[5]New recruits'!$B$3:$F$17,5,FALSE)</f>
        <v>32</v>
      </c>
      <c r="E8" s="1608">
        <f t="shared" ref="E8:E22" si="0">E32*(1+$E$6)</f>
        <v>23123.5</v>
      </c>
      <c r="F8" s="1605"/>
      <c r="G8" s="1608">
        <f t="shared" ref="G8:G22" si="1">E8*$G$6*12</f>
        <v>219210.78000000003</v>
      </c>
      <c r="H8" s="1605">
        <f t="shared" ref="H8:H22" si="2">E8*$H$6</f>
        <v>3468.5250000000001</v>
      </c>
      <c r="I8" s="1605">
        <f t="shared" ref="I8:I22" si="3">$I$6*12</f>
        <v>6000</v>
      </c>
      <c r="J8" s="1605">
        <f t="shared" ref="J8:J22" si="4">$J$6*12</f>
        <v>12000</v>
      </c>
      <c r="K8" s="1605">
        <f t="shared" ref="K8:K22" si="5">E8*$K$6</f>
        <v>2312.35</v>
      </c>
      <c r="L8" s="1605">
        <f t="shared" ref="L8:L22" si="6">M8/12</f>
        <v>4.867194E-3</v>
      </c>
      <c r="M8" s="1609">
        <f t="shared" ref="M8:M22" si="7">SUM(E8*12+F8+G8+H8*12+I8+J8+K8*12)/10^7</f>
        <v>5.8406328E-2</v>
      </c>
      <c r="N8" s="1609">
        <f t="shared" ref="N8:N22" si="8">M8*D8</f>
        <v>1.869002496</v>
      </c>
      <c r="Q8" s="1611">
        <f t="shared" ref="Q8:Q22" si="9">E8*D8/10^7</f>
        <v>7.3995199999999997E-2</v>
      </c>
      <c r="R8" s="1611">
        <f t="shared" ref="R8:R22" si="10">Q8*$G$6</f>
        <v>5.8456208000000003E-2</v>
      </c>
      <c r="S8" s="1611">
        <f t="shared" ref="S8:S22" si="11">H8*D8/10^7</f>
        <v>1.109928E-2</v>
      </c>
      <c r="T8" s="1611">
        <f t="shared" ref="T8:T23" si="12">I8*D8/(12*10^7)</f>
        <v>1.6000000000000001E-3</v>
      </c>
      <c r="U8" s="1611">
        <f t="shared" ref="U8:U23" si="13">J8*D8/(12*10^7)</f>
        <v>3.2000000000000002E-3</v>
      </c>
      <c r="V8" s="1611">
        <f t="shared" ref="V8:V22" si="14">K8*D8/10^7</f>
        <v>7.3995199999999997E-3</v>
      </c>
    </row>
    <row r="9" spans="2:22" s="1610" customFormat="1" ht="24.95" customHeight="1">
      <c r="B9" s="1605">
        <v>2</v>
      </c>
      <c r="C9" s="1606" t="s">
        <v>2651</v>
      </c>
      <c r="D9" s="1607">
        <f>VLOOKUP(C9,'[5]New recruits'!$B$3:$F$17,5,FALSE)</f>
        <v>2</v>
      </c>
      <c r="E9" s="1608">
        <f t="shared" si="0"/>
        <v>23123.5</v>
      </c>
      <c r="F9" s="1605"/>
      <c r="G9" s="1608">
        <f t="shared" si="1"/>
        <v>219210.78000000003</v>
      </c>
      <c r="H9" s="1605">
        <f t="shared" si="2"/>
        <v>3468.5250000000001</v>
      </c>
      <c r="I9" s="1605">
        <f t="shared" si="3"/>
        <v>6000</v>
      </c>
      <c r="J9" s="1605">
        <f t="shared" si="4"/>
        <v>12000</v>
      </c>
      <c r="K9" s="1605">
        <f t="shared" si="5"/>
        <v>2312.35</v>
      </c>
      <c r="L9" s="1605">
        <f t="shared" si="6"/>
        <v>4.867194E-3</v>
      </c>
      <c r="M9" s="1609">
        <f t="shared" si="7"/>
        <v>5.8406328E-2</v>
      </c>
      <c r="N9" s="1609">
        <f t="shared" si="8"/>
        <v>0.116812656</v>
      </c>
      <c r="Q9" s="1611">
        <f t="shared" si="9"/>
        <v>4.6246999999999998E-3</v>
      </c>
      <c r="R9" s="1611">
        <f t="shared" si="10"/>
        <v>3.6535130000000002E-3</v>
      </c>
      <c r="S9" s="1611">
        <f t="shared" si="11"/>
        <v>6.9370499999999997E-4</v>
      </c>
      <c r="T9" s="1611">
        <f t="shared" si="12"/>
        <v>1E-4</v>
      </c>
      <c r="U9" s="1611">
        <f t="shared" si="13"/>
        <v>2.0000000000000001E-4</v>
      </c>
      <c r="V9" s="1611">
        <f t="shared" si="14"/>
        <v>4.6246999999999998E-4</v>
      </c>
    </row>
    <row r="10" spans="2:22" s="1610" customFormat="1" ht="24.95" customHeight="1">
      <c r="B10" s="1605">
        <v>3</v>
      </c>
      <c r="C10" s="1606" t="s">
        <v>2652</v>
      </c>
      <c r="D10" s="1607">
        <f>VLOOKUP(C10,'[5]New recruits'!$B$3:$F$17,5,FALSE)</f>
        <v>28</v>
      </c>
      <c r="E10" s="1608">
        <f t="shared" si="0"/>
        <v>15810.5</v>
      </c>
      <c r="F10" s="1605"/>
      <c r="G10" s="1608">
        <f t="shared" si="1"/>
        <v>149883.54</v>
      </c>
      <c r="H10" s="1605">
        <f t="shared" si="2"/>
        <v>2371.5749999999998</v>
      </c>
      <c r="I10" s="1605">
        <f t="shared" si="3"/>
        <v>6000</v>
      </c>
      <c r="J10" s="1605">
        <f t="shared" si="4"/>
        <v>12000</v>
      </c>
      <c r="K10" s="1605">
        <f t="shared" si="5"/>
        <v>1581.0500000000002</v>
      </c>
      <c r="L10" s="1605">
        <f t="shared" si="6"/>
        <v>3.3753420000000004E-3</v>
      </c>
      <c r="M10" s="1609">
        <f t="shared" si="7"/>
        <v>4.0504104000000006E-2</v>
      </c>
      <c r="N10" s="1609">
        <f t="shared" si="8"/>
        <v>1.1341149120000003</v>
      </c>
      <c r="Q10" s="1611">
        <f t="shared" si="9"/>
        <v>4.42694E-2</v>
      </c>
      <c r="R10" s="1611">
        <f t="shared" si="10"/>
        <v>3.4972825999999999E-2</v>
      </c>
      <c r="S10" s="1611">
        <f t="shared" si="11"/>
        <v>6.6404099999999994E-3</v>
      </c>
      <c r="T10" s="1611">
        <f t="shared" si="12"/>
        <v>1.4E-3</v>
      </c>
      <c r="U10" s="1611">
        <f t="shared" si="13"/>
        <v>2.8E-3</v>
      </c>
      <c r="V10" s="1611">
        <f t="shared" si="14"/>
        <v>4.4269400000000007E-3</v>
      </c>
    </row>
    <row r="11" spans="2:22" s="1610" customFormat="1" ht="24.95" customHeight="1">
      <c r="B11" s="1605">
        <v>4</v>
      </c>
      <c r="C11" s="1606" t="s">
        <v>2653</v>
      </c>
      <c r="D11" s="1607">
        <f>VLOOKUP(C11,'[5]New recruits'!$B$3:$F$17,5,FALSE)</f>
        <v>10</v>
      </c>
      <c r="E11" s="1608">
        <f t="shared" si="0"/>
        <v>15810.5</v>
      </c>
      <c r="F11" s="1605"/>
      <c r="G11" s="1608">
        <f t="shared" si="1"/>
        <v>149883.54</v>
      </c>
      <c r="H11" s="1605">
        <f t="shared" si="2"/>
        <v>2371.5749999999998</v>
      </c>
      <c r="I11" s="1605">
        <f t="shared" si="3"/>
        <v>6000</v>
      </c>
      <c r="J11" s="1605">
        <f t="shared" si="4"/>
        <v>12000</v>
      </c>
      <c r="K11" s="1605">
        <f t="shared" si="5"/>
        <v>1581.0500000000002</v>
      </c>
      <c r="L11" s="1605">
        <f t="shared" si="6"/>
        <v>3.3753420000000004E-3</v>
      </c>
      <c r="M11" s="1609">
        <f t="shared" si="7"/>
        <v>4.0504104000000006E-2</v>
      </c>
      <c r="N11" s="1609">
        <f t="shared" si="8"/>
        <v>0.40504104000000007</v>
      </c>
      <c r="Q11" s="1611">
        <f t="shared" si="9"/>
        <v>1.5810500000000002E-2</v>
      </c>
      <c r="R11" s="1611">
        <f t="shared" si="10"/>
        <v>1.2490295000000002E-2</v>
      </c>
      <c r="S11" s="1611">
        <f t="shared" si="11"/>
        <v>2.3715749999999999E-3</v>
      </c>
      <c r="T11" s="1611">
        <f t="shared" si="12"/>
        <v>5.0000000000000001E-4</v>
      </c>
      <c r="U11" s="1611">
        <f t="shared" si="13"/>
        <v>1E-3</v>
      </c>
      <c r="V11" s="1611">
        <f t="shared" si="14"/>
        <v>1.5810500000000001E-3</v>
      </c>
    </row>
    <row r="12" spans="2:22" s="1610" customFormat="1" ht="24.95" customHeight="1">
      <c r="B12" s="1605">
        <v>5</v>
      </c>
      <c r="C12" s="1606" t="s">
        <v>2656</v>
      </c>
      <c r="D12" s="1607">
        <f>VLOOKUP(C12,'[5]New recruits'!$B$3:$F$17,5,FALSE)</f>
        <v>1</v>
      </c>
      <c r="E12" s="1608">
        <f t="shared" si="0"/>
        <v>23123.5</v>
      </c>
      <c r="F12" s="1605"/>
      <c r="G12" s="1608">
        <f t="shared" si="1"/>
        <v>219210.78000000003</v>
      </c>
      <c r="H12" s="1605">
        <f t="shared" si="2"/>
        <v>3468.5250000000001</v>
      </c>
      <c r="I12" s="1605">
        <f t="shared" si="3"/>
        <v>6000</v>
      </c>
      <c r="J12" s="1605">
        <f t="shared" si="4"/>
        <v>12000</v>
      </c>
      <c r="K12" s="1605">
        <f t="shared" si="5"/>
        <v>2312.35</v>
      </c>
      <c r="L12" s="1605">
        <f t="shared" si="6"/>
        <v>4.867194E-3</v>
      </c>
      <c r="M12" s="1609">
        <f t="shared" si="7"/>
        <v>5.8406328E-2</v>
      </c>
      <c r="N12" s="1609">
        <f t="shared" si="8"/>
        <v>5.8406328E-2</v>
      </c>
      <c r="Q12" s="1611">
        <f t="shared" si="9"/>
        <v>2.3123499999999999E-3</v>
      </c>
      <c r="R12" s="1611">
        <f t="shared" si="10"/>
        <v>1.8267565000000001E-3</v>
      </c>
      <c r="S12" s="1611">
        <f t="shared" si="11"/>
        <v>3.4685249999999999E-4</v>
      </c>
      <c r="T12" s="1611">
        <f t="shared" si="12"/>
        <v>5.0000000000000002E-5</v>
      </c>
      <c r="U12" s="1611">
        <f t="shared" si="13"/>
        <v>1E-4</v>
      </c>
      <c r="V12" s="1611">
        <f t="shared" si="14"/>
        <v>2.3123499999999999E-4</v>
      </c>
    </row>
    <row r="13" spans="2:22" s="1610" customFormat="1" ht="24.95" customHeight="1">
      <c r="B13" s="1605">
        <v>6</v>
      </c>
      <c r="C13" s="1606" t="s">
        <v>2657</v>
      </c>
      <c r="D13" s="1607">
        <f>VLOOKUP(C13,'[5]New recruits'!$B$3:$F$17,5,FALSE)</f>
        <v>0</v>
      </c>
      <c r="E13" s="1608">
        <f t="shared" si="0"/>
        <v>16892</v>
      </c>
      <c r="F13" s="1605"/>
      <c r="G13" s="1608">
        <f t="shared" si="1"/>
        <v>160136.16</v>
      </c>
      <c r="H13" s="1605">
        <f t="shared" si="2"/>
        <v>2533.7999999999997</v>
      </c>
      <c r="I13" s="1605">
        <f t="shared" si="3"/>
        <v>6000</v>
      </c>
      <c r="J13" s="1605">
        <f t="shared" si="4"/>
        <v>12000</v>
      </c>
      <c r="K13" s="1605">
        <f t="shared" si="5"/>
        <v>1689.2</v>
      </c>
      <c r="L13" s="1605">
        <f t="shared" si="6"/>
        <v>3.5959680000000002E-3</v>
      </c>
      <c r="M13" s="1609">
        <f t="shared" si="7"/>
        <v>4.3151616000000004E-2</v>
      </c>
      <c r="N13" s="1609">
        <f t="shared" si="8"/>
        <v>0</v>
      </c>
      <c r="Q13" s="1611">
        <f t="shared" si="9"/>
        <v>0</v>
      </c>
      <c r="R13" s="1611">
        <f t="shared" si="10"/>
        <v>0</v>
      </c>
      <c r="S13" s="1611">
        <f t="shared" si="11"/>
        <v>0</v>
      </c>
      <c r="T13" s="1611">
        <f t="shared" si="12"/>
        <v>0</v>
      </c>
      <c r="U13" s="1611">
        <f t="shared" si="13"/>
        <v>0</v>
      </c>
      <c r="V13" s="1611">
        <f t="shared" si="14"/>
        <v>0</v>
      </c>
    </row>
    <row r="14" spans="2:22" s="1610" customFormat="1" ht="24.95" customHeight="1">
      <c r="B14" s="1605" t="s">
        <v>2397</v>
      </c>
      <c r="C14" s="1606" t="s">
        <v>2408</v>
      </c>
      <c r="D14" s="1607">
        <f>VLOOKUP(C14,'[5]New recruits'!$B$3:$F$17,5,FALSE)</f>
        <v>7</v>
      </c>
      <c r="E14" s="1608">
        <f t="shared" si="0"/>
        <v>9888</v>
      </c>
      <c r="F14" s="1605"/>
      <c r="G14" s="1608">
        <f t="shared" si="1"/>
        <v>93738.240000000005</v>
      </c>
      <c r="H14" s="1605">
        <f t="shared" si="2"/>
        <v>1483.2</v>
      </c>
      <c r="I14" s="1605">
        <f t="shared" si="3"/>
        <v>6000</v>
      </c>
      <c r="J14" s="1605">
        <f t="shared" si="4"/>
        <v>12000</v>
      </c>
      <c r="K14" s="1605">
        <f t="shared" si="5"/>
        <v>988.80000000000007</v>
      </c>
      <c r="L14" s="1605">
        <f t="shared" si="6"/>
        <v>2.1671519999999999E-3</v>
      </c>
      <c r="M14" s="1609">
        <f t="shared" si="7"/>
        <v>2.6005824E-2</v>
      </c>
      <c r="N14" s="1609">
        <f t="shared" si="8"/>
        <v>0.18204076799999999</v>
      </c>
      <c r="Q14" s="1611">
        <f t="shared" si="9"/>
        <v>6.9216E-3</v>
      </c>
      <c r="R14" s="1611">
        <f t="shared" si="10"/>
        <v>5.4680639999999999E-3</v>
      </c>
      <c r="S14" s="1611">
        <f t="shared" si="11"/>
        <v>1.03824E-3</v>
      </c>
      <c r="T14" s="1611">
        <f t="shared" si="12"/>
        <v>3.5E-4</v>
      </c>
      <c r="U14" s="1611">
        <f t="shared" si="13"/>
        <v>6.9999999999999999E-4</v>
      </c>
      <c r="V14" s="1611">
        <f t="shared" si="14"/>
        <v>6.9216000000000004E-4</v>
      </c>
    </row>
    <row r="15" spans="2:22" s="1610" customFormat="1" ht="24.95" customHeight="1">
      <c r="B15" s="1605" t="s">
        <v>2398</v>
      </c>
      <c r="C15" s="1606" t="s">
        <v>2407</v>
      </c>
      <c r="D15" s="1607">
        <f>VLOOKUP(C15,'[5]New recruits'!$B$3:$F$17,5,FALSE)</f>
        <v>22</v>
      </c>
      <c r="E15" s="1608">
        <f t="shared" si="0"/>
        <v>9888</v>
      </c>
      <c r="F15" s="1605"/>
      <c r="G15" s="1608">
        <f t="shared" si="1"/>
        <v>93738.240000000005</v>
      </c>
      <c r="H15" s="1605">
        <f t="shared" si="2"/>
        <v>1483.2</v>
      </c>
      <c r="I15" s="1605">
        <f t="shared" si="3"/>
        <v>6000</v>
      </c>
      <c r="J15" s="1605">
        <f t="shared" si="4"/>
        <v>12000</v>
      </c>
      <c r="K15" s="1605">
        <f t="shared" si="5"/>
        <v>988.80000000000007</v>
      </c>
      <c r="L15" s="1605">
        <f t="shared" si="6"/>
        <v>2.1671519999999999E-3</v>
      </c>
      <c r="M15" s="1609">
        <f t="shared" si="7"/>
        <v>2.6005824E-2</v>
      </c>
      <c r="N15" s="1609">
        <f t="shared" si="8"/>
        <v>0.57212812800000001</v>
      </c>
      <c r="Q15" s="1611">
        <f t="shared" si="9"/>
        <v>2.1753600000000001E-2</v>
      </c>
      <c r="R15" s="1611">
        <f t="shared" si="10"/>
        <v>1.7185344000000002E-2</v>
      </c>
      <c r="S15" s="1611">
        <f t="shared" si="11"/>
        <v>3.26304E-3</v>
      </c>
      <c r="T15" s="1611">
        <f t="shared" si="12"/>
        <v>1.1000000000000001E-3</v>
      </c>
      <c r="U15" s="1611">
        <f t="shared" si="13"/>
        <v>2.2000000000000001E-3</v>
      </c>
      <c r="V15" s="1611">
        <f t="shared" si="14"/>
        <v>2.1753600000000003E-3</v>
      </c>
    </row>
    <row r="16" spans="2:22" s="1610" customFormat="1" ht="24.95" customHeight="1">
      <c r="B16" s="1605">
        <v>8</v>
      </c>
      <c r="C16" s="1606" t="s">
        <v>2409</v>
      </c>
      <c r="D16" s="1607">
        <f>VLOOKUP(C16,'[5]New recruits'!$B$3:$F$17,5,FALSE)</f>
        <v>83</v>
      </c>
      <c r="E16" s="1608">
        <f t="shared" si="0"/>
        <v>9630.5</v>
      </c>
      <c r="F16" s="1605"/>
      <c r="G16" s="1608">
        <f t="shared" si="1"/>
        <v>91297.14</v>
      </c>
      <c r="H16" s="1605">
        <f t="shared" si="2"/>
        <v>1444.575</v>
      </c>
      <c r="I16" s="1605">
        <f t="shared" si="3"/>
        <v>6000</v>
      </c>
      <c r="J16" s="1605">
        <f t="shared" si="4"/>
        <v>12000</v>
      </c>
      <c r="K16" s="1605">
        <f t="shared" si="5"/>
        <v>963.05000000000007</v>
      </c>
      <c r="L16" s="1605">
        <f t="shared" si="6"/>
        <v>2.114622E-3</v>
      </c>
      <c r="M16" s="1609">
        <f t="shared" si="7"/>
        <v>2.5375464E-2</v>
      </c>
      <c r="N16" s="1609">
        <f t="shared" si="8"/>
        <v>2.1061635120000002</v>
      </c>
      <c r="Q16" s="1611">
        <f t="shared" si="9"/>
        <v>7.9933149999999994E-2</v>
      </c>
      <c r="R16" s="1611">
        <f t="shared" si="10"/>
        <v>6.3147188499999993E-2</v>
      </c>
      <c r="S16" s="1611">
        <f t="shared" si="11"/>
        <v>1.1989972500000001E-2</v>
      </c>
      <c r="T16" s="1611">
        <f t="shared" si="12"/>
        <v>4.15E-3</v>
      </c>
      <c r="U16" s="1611">
        <f t="shared" si="13"/>
        <v>8.3000000000000001E-3</v>
      </c>
      <c r="V16" s="1611">
        <f t="shared" si="14"/>
        <v>7.9933150000000008E-3</v>
      </c>
    </row>
    <row r="17" spans="2:22" s="1610" customFormat="1" ht="24.95" customHeight="1">
      <c r="B17" s="1605" t="s">
        <v>2399</v>
      </c>
      <c r="C17" s="1606" t="s">
        <v>2658</v>
      </c>
      <c r="D17" s="1607">
        <f>VLOOKUP(C17,'[5]New recruits'!$B$3:$F$17,5,FALSE)</f>
        <v>4</v>
      </c>
      <c r="E17" s="1608">
        <f t="shared" si="0"/>
        <v>15810.5</v>
      </c>
      <c r="F17" s="1605"/>
      <c r="G17" s="1608">
        <f t="shared" si="1"/>
        <v>149883.54</v>
      </c>
      <c r="H17" s="1605">
        <f t="shared" si="2"/>
        <v>2371.5749999999998</v>
      </c>
      <c r="I17" s="1605">
        <f t="shared" si="3"/>
        <v>6000</v>
      </c>
      <c r="J17" s="1605">
        <f t="shared" si="4"/>
        <v>12000</v>
      </c>
      <c r="K17" s="1605">
        <f t="shared" si="5"/>
        <v>1581.0500000000002</v>
      </c>
      <c r="L17" s="1605">
        <f t="shared" si="6"/>
        <v>3.3753420000000004E-3</v>
      </c>
      <c r="M17" s="1609">
        <f t="shared" si="7"/>
        <v>4.0504104000000006E-2</v>
      </c>
      <c r="N17" s="1609">
        <f t="shared" si="8"/>
        <v>0.16201641600000002</v>
      </c>
      <c r="Q17" s="1611">
        <f t="shared" si="9"/>
        <v>6.3242000000000003E-3</v>
      </c>
      <c r="R17" s="1611">
        <f t="shared" si="10"/>
        <v>4.9961180000000008E-3</v>
      </c>
      <c r="S17" s="1611">
        <f t="shared" si="11"/>
        <v>9.4862999999999989E-4</v>
      </c>
      <c r="T17" s="1611">
        <f t="shared" si="12"/>
        <v>2.0000000000000001E-4</v>
      </c>
      <c r="U17" s="1611">
        <f t="shared" si="13"/>
        <v>4.0000000000000002E-4</v>
      </c>
      <c r="V17" s="1611">
        <f t="shared" si="14"/>
        <v>6.3242000000000007E-4</v>
      </c>
    </row>
    <row r="18" spans="2:22" s="1610" customFormat="1" ht="24.95" customHeight="1">
      <c r="B18" s="1605" t="s">
        <v>2400</v>
      </c>
      <c r="C18" s="1606" t="s">
        <v>2659</v>
      </c>
      <c r="D18" s="1607">
        <f>VLOOKUP(C18,'[5]New recruits'!$B$3:$F$17,5,FALSE)</f>
        <v>1</v>
      </c>
      <c r="E18" s="1608">
        <f t="shared" si="0"/>
        <v>15810.5</v>
      </c>
      <c r="F18" s="1605"/>
      <c r="G18" s="1608">
        <f t="shared" si="1"/>
        <v>149883.54</v>
      </c>
      <c r="H18" s="1605">
        <f t="shared" si="2"/>
        <v>2371.5749999999998</v>
      </c>
      <c r="I18" s="1605">
        <f t="shared" si="3"/>
        <v>6000</v>
      </c>
      <c r="J18" s="1605">
        <f t="shared" si="4"/>
        <v>12000</v>
      </c>
      <c r="K18" s="1605">
        <f t="shared" si="5"/>
        <v>1581.0500000000002</v>
      </c>
      <c r="L18" s="1605">
        <f t="shared" si="6"/>
        <v>3.3753420000000004E-3</v>
      </c>
      <c r="M18" s="1609">
        <f t="shared" si="7"/>
        <v>4.0504104000000006E-2</v>
      </c>
      <c r="N18" s="1609">
        <f t="shared" si="8"/>
        <v>4.0504104000000006E-2</v>
      </c>
      <c r="Q18" s="1611">
        <f t="shared" si="9"/>
        <v>1.5810500000000001E-3</v>
      </c>
      <c r="R18" s="1611">
        <f t="shared" si="10"/>
        <v>1.2490295000000002E-3</v>
      </c>
      <c r="S18" s="1611">
        <f t="shared" si="11"/>
        <v>2.3715749999999997E-4</v>
      </c>
      <c r="T18" s="1611">
        <f t="shared" si="12"/>
        <v>5.0000000000000002E-5</v>
      </c>
      <c r="U18" s="1611">
        <f t="shared" si="13"/>
        <v>1E-4</v>
      </c>
      <c r="V18" s="1611">
        <f t="shared" si="14"/>
        <v>1.5810500000000002E-4</v>
      </c>
    </row>
    <row r="19" spans="2:22" s="1610" customFormat="1" ht="24.95" customHeight="1">
      <c r="B19" s="1605">
        <v>10</v>
      </c>
      <c r="C19" s="1606" t="s">
        <v>2655</v>
      </c>
      <c r="D19" s="1607">
        <f>VLOOKUP(C19,'[5]New recruits'!$B$3:$F$17,5,FALSE)</f>
        <v>0</v>
      </c>
      <c r="E19" s="1608">
        <f t="shared" si="0"/>
        <v>23123.5</v>
      </c>
      <c r="F19" s="1605"/>
      <c r="G19" s="1608">
        <f t="shared" si="1"/>
        <v>219210.78000000003</v>
      </c>
      <c r="H19" s="1605">
        <f t="shared" si="2"/>
        <v>3468.5250000000001</v>
      </c>
      <c r="I19" s="1605">
        <f t="shared" si="3"/>
        <v>6000</v>
      </c>
      <c r="J19" s="1605">
        <f t="shared" si="4"/>
        <v>12000</v>
      </c>
      <c r="K19" s="1605">
        <f t="shared" si="5"/>
        <v>2312.35</v>
      </c>
      <c r="L19" s="1605">
        <f t="shared" si="6"/>
        <v>4.867194E-3</v>
      </c>
      <c r="M19" s="1609">
        <f t="shared" si="7"/>
        <v>5.8406328E-2</v>
      </c>
      <c r="N19" s="1609">
        <f t="shared" si="8"/>
        <v>0</v>
      </c>
      <c r="Q19" s="1611">
        <f t="shared" si="9"/>
        <v>0</v>
      </c>
      <c r="R19" s="1611">
        <f t="shared" si="10"/>
        <v>0</v>
      </c>
      <c r="S19" s="1611">
        <f t="shared" si="11"/>
        <v>0</v>
      </c>
      <c r="T19" s="1611">
        <f t="shared" si="12"/>
        <v>0</v>
      </c>
      <c r="U19" s="1611">
        <f t="shared" si="13"/>
        <v>0</v>
      </c>
      <c r="V19" s="1611">
        <f t="shared" si="14"/>
        <v>0</v>
      </c>
    </row>
    <row r="20" spans="2:22" s="1610" customFormat="1" ht="24.95" customHeight="1">
      <c r="B20" s="1605">
        <v>11</v>
      </c>
      <c r="C20" s="1606" t="s">
        <v>2654</v>
      </c>
      <c r="D20" s="1607">
        <f>VLOOKUP(C20,'[5]New recruits'!$B$3:$F$17,5,FALSE)</f>
        <v>0</v>
      </c>
      <c r="E20" s="1608">
        <f t="shared" si="0"/>
        <v>23123.5</v>
      </c>
      <c r="F20" s="1605"/>
      <c r="G20" s="1608">
        <f t="shared" si="1"/>
        <v>219210.78000000003</v>
      </c>
      <c r="H20" s="1605">
        <f t="shared" si="2"/>
        <v>3468.5250000000001</v>
      </c>
      <c r="I20" s="1605">
        <f t="shared" si="3"/>
        <v>6000</v>
      </c>
      <c r="J20" s="1605">
        <f t="shared" si="4"/>
        <v>12000</v>
      </c>
      <c r="K20" s="1605">
        <f t="shared" si="5"/>
        <v>2312.35</v>
      </c>
      <c r="L20" s="1605">
        <f t="shared" si="6"/>
        <v>4.867194E-3</v>
      </c>
      <c r="M20" s="1609">
        <f t="shared" si="7"/>
        <v>5.8406328E-2</v>
      </c>
      <c r="N20" s="1609">
        <f t="shared" si="8"/>
        <v>0</v>
      </c>
      <c r="Q20" s="1611">
        <f t="shared" si="9"/>
        <v>0</v>
      </c>
      <c r="R20" s="1611">
        <f t="shared" si="10"/>
        <v>0</v>
      </c>
      <c r="S20" s="1611">
        <f t="shared" si="11"/>
        <v>0</v>
      </c>
      <c r="T20" s="1611">
        <f t="shared" si="12"/>
        <v>0</v>
      </c>
      <c r="U20" s="1611">
        <f t="shared" si="13"/>
        <v>0</v>
      </c>
      <c r="V20" s="1611">
        <f t="shared" si="14"/>
        <v>0</v>
      </c>
    </row>
    <row r="21" spans="2:22" s="1610" customFormat="1" ht="24.95" customHeight="1">
      <c r="B21" s="1605">
        <v>12</v>
      </c>
      <c r="C21" s="1606" t="s">
        <v>2413</v>
      </c>
      <c r="D21" s="1607">
        <f>VLOOKUP(C21,'[5]New recruits'!$B$3:$F$17,5,FALSE)</f>
        <v>4</v>
      </c>
      <c r="E21" s="1608">
        <f t="shared" si="0"/>
        <v>16068</v>
      </c>
      <c r="F21" s="1605"/>
      <c r="G21" s="1608">
        <f t="shared" si="1"/>
        <v>152324.64000000001</v>
      </c>
      <c r="H21" s="1605">
        <f t="shared" si="2"/>
        <v>2410.1999999999998</v>
      </c>
      <c r="I21" s="1605">
        <f t="shared" si="3"/>
        <v>6000</v>
      </c>
      <c r="J21" s="1605">
        <f t="shared" si="4"/>
        <v>12000</v>
      </c>
      <c r="K21" s="1605">
        <f t="shared" si="5"/>
        <v>1606.8000000000002</v>
      </c>
      <c r="L21" s="1605">
        <f t="shared" si="6"/>
        <v>3.4278720000000002E-3</v>
      </c>
      <c r="M21" s="1609">
        <f t="shared" si="7"/>
        <v>4.1134464000000003E-2</v>
      </c>
      <c r="N21" s="1609">
        <f t="shared" si="8"/>
        <v>0.16453785600000001</v>
      </c>
      <c r="Q21" s="1611">
        <f t="shared" si="9"/>
        <v>6.4272000000000001E-3</v>
      </c>
      <c r="R21" s="1611">
        <f t="shared" si="10"/>
        <v>5.0774880000000007E-3</v>
      </c>
      <c r="S21" s="1611">
        <f t="shared" si="11"/>
        <v>9.6407999999999997E-4</v>
      </c>
      <c r="T21" s="1611">
        <f t="shared" si="12"/>
        <v>2.0000000000000001E-4</v>
      </c>
      <c r="U21" s="1611">
        <f t="shared" si="13"/>
        <v>4.0000000000000002E-4</v>
      </c>
      <c r="V21" s="1611">
        <f t="shared" si="14"/>
        <v>6.4272000000000005E-4</v>
      </c>
    </row>
    <row r="22" spans="2:22" s="1610" customFormat="1" ht="24.95" customHeight="1">
      <c r="B22" s="1605">
        <v>13</v>
      </c>
      <c r="C22" s="1606" t="s">
        <v>2414</v>
      </c>
      <c r="D22" s="1607">
        <f>VLOOKUP(C22,'[5]New recruits'!$B$3:$F$17,5,FALSE)</f>
        <v>7</v>
      </c>
      <c r="E22" s="1608">
        <f t="shared" si="0"/>
        <v>9115.5</v>
      </c>
      <c r="F22" s="1605"/>
      <c r="G22" s="1608">
        <f t="shared" si="1"/>
        <v>86414.94</v>
      </c>
      <c r="H22" s="1605">
        <f t="shared" si="2"/>
        <v>1367.325</v>
      </c>
      <c r="I22" s="1605">
        <f t="shared" si="3"/>
        <v>6000</v>
      </c>
      <c r="J22" s="1605">
        <f t="shared" si="4"/>
        <v>12000</v>
      </c>
      <c r="K22" s="1605">
        <f t="shared" si="5"/>
        <v>911.55000000000007</v>
      </c>
      <c r="L22" s="1605">
        <f t="shared" si="6"/>
        <v>2.0095619999999999E-3</v>
      </c>
      <c r="M22" s="1609">
        <f t="shared" si="7"/>
        <v>2.4114744E-2</v>
      </c>
      <c r="N22" s="1609">
        <f t="shared" si="8"/>
        <v>0.16880320800000001</v>
      </c>
      <c r="Q22" s="1611">
        <f t="shared" si="9"/>
        <v>6.3808500000000004E-3</v>
      </c>
      <c r="R22" s="1611">
        <f t="shared" si="10"/>
        <v>5.0408715000000003E-3</v>
      </c>
      <c r="S22" s="1611">
        <f t="shared" si="11"/>
        <v>9.5712749999999995E-4</v>
      </c>
      <c r="T22" s="1611">
        <f t="shared" si="12"/>
        <v>3.5E-4</v>
      </c>
      <c r="U22" s="1611">
        <f t="shared" si="13"/>
        <v>6.9999999999999999E-4</v>
      </c>
      <c r="V22" s="1611">
        <f t="shared" si="14"/>
        <v>6.3808500000000004E-4</v>
      </c>
    </row>
    <row r="23" spans="2:22" s="1610" customFormat="1" ht="24.95" customHeight="1">
      <c r="B23" s="1606"/>
      <c r="C23" s="1612" t="s">
        <v>287</v>
      </c>
      <c r="D23" s="1613">
        <f>SUM(D8:D22)</f>
        <v>201</v>
      </c>
      <c r="E23" s="1605"/>
      <c r="F23" s="1605"/>
      <c r="G23" s="1605"/>
      <c r="H23" s="1605"/>
      <c r="I23" s="1605"/>
      <c r="J23" s="1605"/>
      <c r="K23" s="1605"/>
      <c r="L23" s="1605"/>
      <c r="M23" s="1605"/>
      <c r="N23" s="1614">
        <f>SUM(N8:N22)</f>
        <v>6.9795714239999995</v>
      </c>
      <c r="P23" s="1610" t="s">
        <v>287</v>
      </c>
      <c r="Q23" s="1611">
        <f>SUM(Q8:Q22)</f>
        <v>0.27033379999999996</v>
      </c>
      <c r="R23" s="1611">
        <f>SUM(R8:R22)</f>
        <v>0.21356370199999994</v>
      </c>
      <c r="S23" s="1611">
        <f>SUM(S8:S22)</f>
        <v>4.0550070000000001E-2</v>
      </c>
      <c r="T23" s="1611">
        <f t="shared" si="12"/>
        <v>0</v>
      </c>
      <c r="U23" s="1611">
        <f t="shared" si="13"/>
        <v>0</v>
      </c>
      <c r="V23" s="1611">
        <f>SUM(V8:V22)</f>
        <v>2.7033380000000003E-2</v>
      </c>
    </row>
    <row r="24" spans="2:22">
      <c r="B24" s="1615"/>
      <c r="C24" s="1615"/>
      <c r="D24" s="1615"/>
      <c r="E24" s="1615"/>
      <c r="F24" s="1616"/>
      <c r="G24" s="1616"/>
      <c r="H24" s="1616"/>
      <c r="I24" s="1616"/>
      <c r="J24" s="1616"/>
      <c r="K24" s="1616"/>
      <c r="L24" s="1616"/>
      <c r="M24" s="1616"/>
      <c r="N24" s="1617">
        <f>N23/10^7</f>
        <v>6.9795714239999997E-7</v>
      </c>
    </row>
    <row r="25" spans="2:22">
      <c r="Q25" s="1618" t="s">
        <v>2381</v>
      </c>
      <c r="R25" s="1618" t="s">
        <v>2645</v>
      </c>
      <c r="S25" s="1618" t="s">
        <v>2257</v>
      </c>
      <c r="T25" s="1618" t="s">
        <v>2660</v>
      </c>
      <c r="U25" s="1618" t="s">
        <v>2396</v>
      </c>
      <c r="V25" s="1618" t="s">
        <v>2258</v>
      </c>
    </row>
    <row r="28" spans="2:22">
      <c r="B28" s="1599" t="s">
        <v>2661</v>
      </c>
    </row>
    <row r="29" spans="2:22">
      <c r="N29" s="1600" t="s">
        <v>96</v>
      </c>
    </row>
    <row r="30" spans="2:22">
      <c r="F30" s="1602">
        <v>0.65</v>
      </c>
      <c r="G30" s="1602">
        <v>0.65</v>
      </c>
      <c r="H30" s="1602">
        <v>0.15</v>
      </c>
      <c r="I30" s="1599">
        <v>500</v>
      </c>
      <c r="J30" s="1599">
        <v>1000</v>
      </c>
      <c r="K30" s="1602">
        <v>0.1</v>
      </c>
      <c r="L30" s="1602"/>
    </row>
    <row r="31" spans="2:22" ht="60.75">
      <c r="B31" s="1603" t="s">
        <v>1003</v>
      </c>
      <c r="C31" s="1603" t="s">
        <v>2390</v>
      </c>
      <c r="D31" s="1603" t="s">
        <v>2391</v>
      </c>
      <c r="E31" s="1603" t="s">
        <v>2392</v>
      </c>
      <c r="F31" s="1603" t="s">
        <v>2393</v>
      </c>
      <c r="G31" s="1603" t="s">
        <v>2394</v>
      </c>
      <c r="H31" s="1603" t="s">
        <v>2257</v>
      </c>
      <c r="I31" s="1603" t="s">
        <v>2395</v>
      </c>
      <c r="J31" s="1603" t="s">
        <v>2396</v>
      </c>
      <c r="K31" s="1603" t="s">
        <v>2258</v>
      </c>
      <c r="L31" s="1603" t="s">
        <v>2565</v>
      </c>
      <c r="M31" s="1603" t="s">
        <v>2415</v>
      </c>
      <c r="N31" s="1603" t="s">
        <v>2416</v>
      </c>
      <c r="Q31" s="2334">
        <v>41153</v>
      </c>
      <c r="R31" s="2334"/>
      <c r="S31" s="2334"/>
      <c r="T31" s="2334"/>
      <c r="U31" s="2334"/>
      <c r="V31" s="1604"/>
    </row>
    <row r="32" spans="2:22" ht="20.25">
      <c r="B32" s="1605">
        <v>1</v>
      </c>
      <c r="C32" s="1606" t="s">
        <v>2650</v>
      </c>
      <c r="D32" s="1607">
        <f>VLOOKUP(C32,'[5]New recruits'!$B$3:$F$17,4,FALSE)</f>
        <v>89</v>
      </c>
      <c r="E32" s="1605">
        <f>16650+5800</f>
        <v>22450</v>
      </c>
      <c r="F32" s="1605">
        <f t="shared" ref="F32:F46" si="15">E32*$F$6*3</f>
        <v>0</v>
      </c>
      <c r="G32" s="1605">
        <f t="shared" ref="G32:G46" si="16">E32*$G$30*9</f>
        <v>131332.5</v>
      </c>
      <c r="H32" s="1605">
        <f t="shared" ref="H32:H46" si="17">E32*$H$6</f>
        <v>3367.5</v>
      </c>
      <c r="I32" s="1605">
        <f t="shared" ref="I32:I46" si="18">$I$6*12</f>
        <v>6000</v>
      </c>
      <c r="J32" s="1605">
        <f t="shared" ref="J32:J46" si="19">$J$6*12</f>
        <v>12000</v>
      </c>
      <c r="K32" s="1605">
        <f t="shared" ref="K32:K46" si="20">E32*$K$6</f>
        <v>2245</v>
      </c>
      <c r="L32" s="1605">
        <f t="shared" ref="L32:L46" si="21">M32/12</f>
        <v>4.0506874999999996E-3</v>
      </c>
      <c r="M32" s="1609">
        <f t="shared" ref="M32:M46" si="22">SUM(E32*12+F32+G32+H32*12+I32+J32+K32*12)/10^7</f>
        <v>4.8608249999999999E-2</v>
      </c>
      <c r="N32" s="1609">
        <f t="shared" ref="N32:N46" si="23">M32*D32</f>
        <v>4.32613425</v>
      </c>
      <c r="Q32" s="1611">
        <f t="shared" ref="Q32:Q46" si="24">E32*D32/10^7</f>
        <v>0.19980500000000001</v>
      </c>
      <c r="R32" s="1611">
        <f t="shared" ref="R32:R46" si="25">Q32*$G$30</f>
        <v>0.12987325000000002</v>
      </c>
      <c r="S32" s="1611">
        <f t="shared" ref="S32:S46" si="26">H32*D32/10^7</f>
        <v>2.9970750000000001E-2</v>
      </c>
      <c r="T32" s="1611">
        <f t="shared" ref="T32:T47" si="27">I32*D32/(12*10^7)</f>
        <v>4.45E-3</v>
      </c>
      <c r="U32" s="1611">
        <f t="shared" ref="U32:U47" si="28">J32*D32/(12*10^7)</f>
        <v>8.8999999999999999E-3</v>
      </c>
      <c r="V32" s="1611">
        <f t="shared" ref="V32:V46" si="29">K32*D32/10^7</f>
        <v>1.9980500000000002E-2</v>
      </c>
    </row>
    <row r="33" spans="2:22" ht="20.25">
      <c r="B33" s="1605">
        <v>2</v>
      </c>
      <c r="C33" s="1606" t="s">
        <v>2651</v>
      </c>
      <c r="D33" s="1607">
        <f>VLOOKUP(C33,'[5]New recruits'!$B$3:$F$17,4,FALSE)</f>
        <v>5</v>
      </c>
      <c r="E33" s="1605">
        <f>16650+5800</f>
        <v>22450</v>
      </c>
      <c r="F33" s="1605">
        <f t="shared" si="15"/>
        <v>0</v>
      </c>
      <c r="G33" s="1605">
        <f t="shared" si="16"/>
        <v>131332.5</v>
      </c>
      <c r="H33" s="1605">
        <f t="shared" si="17"/>
        <v>3367.5</v>
      </c>
      <c r="I33" s="1605">
        <f t="shared" si="18"/>
        <v>6000</v>
      </c>
      <c r="J33" s="1605">
        <f t="shared" si="19"/>
        <v>12000</v>
      </c>
      <c r="K33" s="1605">
        <f t="shared" si="20"/>
        <v>2245</v>
      </c>
      <c r="L33" s="1605">
        <f t="shared" si="21"/>
        <v>4.0506874999999996E-3</v>
      </c>
      <c r="M33" s="1609">
        <f t="shared" si="22"/>
        <v>4.8608249999999999E-2</v>
      </c>
      <c r="N33" s="1609">
        <f t="shared" si="23"/>
        <v>0.24304124999999999</v>
      </c>
      <c r="Q33" s="1611">
        <f t="shared" si="24"/>
        <v>1.1225000000000001E-2</v>
      </c>
      <c r="R33" s="1611">
        <f t="shared" si="25"/>
        <v>7.2962500000000007E-3</v>
      </c>
      <c r="S33" s="1611">
        <f t="shared" si="26"/>
        <v>1.6837499999999999E-3</v>
      </c>
      <c r="T33" s="1611">
        <f t="shared" si="27"/>
        <v>2.5000000000000001E-4</v>
      </c>
      <c r="U33" s="1611">
        <f t="shared" si="28"/>
        <v>5.0000000000000001E-4</v>
      </c>
      <c r="V33" s="1611">
        <f t="shared" si="29"/>
        <v>1.1225E-3</v>
      </c>
    </row>
    <row r="34" spans="2:22" ht="20.25">
      <c r="B34" s="1605">
        <v>3</v>
      </c>
      <c r="C34" s="1606" t="s">
        <v>2652</v>
      </c>
      <c r="D34" s="1607">
        <f>VLOOKUP(C34,'[5]New recruits'!$B$3:$F$17,4,FALSE)</f>
        <v>77</v>
      </c>
      <c r="E34" s="1605">
        <f>10900+4450</f>
        <v>15350</v>
      </c>
      <c r="F34" s="1605">
        <f t="shared" si="15"/>
        <v>0</v>
      </c>
      <c r="G34" s="1605">
        <f t="shared" si="16"/>
        <v>89797.5</v>
      </c>
      <c r="H34" s="1605">
        <f t="shared" si="17"/>
        <v>2302.5</v>
      </c>
      <c r="I34" s="1605">
        <f t="shared" si="18"/>
        <v>6000</v>
      </c>
      <c r="J34" s="1605">
        <f t="shared" si="19"/>
        <v>12000</v>
      </c>
      <c r="K34" s="1605">
        <f t="shared" si="20"/>
        <v>1535</v>
      </c>
      <c r="L34" s="1605">
        <f t="shared" si="21"/>
        <v>2.8170625000000001E-3</v>
      </c>
      <c r="M34" s="1609">
        <f t="shared" si="22"/>
        <v>3.3804750000000001E-2</v>
      </c>
      <c r="N34" s="1609">
        <f t="shared" si="23"/>
        <v>2.6029657500000001</v>
      </c>
      <c r="Q34" s="1611">
        <f t="shared" si="24"/>
        <v>0.11819499999999999</v>
      </c>
      <c r="R34" s="1611">
        <f t="shared" si="25"/>
        <v>7.6826749999999999E-2</v>
      </c>
      <c r="S34" s="1611">
        <f t="shared" si="26"/>
        <v>1.7729249999999998E-2</v>
      </c>
      <c r="T34" s="1611">
        <f t="shared" si="27"/>
        <v>3.8500000000000001E-3</v>
      </c>
      <c r="U34" s="1611">
        <f t="shared" si="28"/>
        <v>7.7000000000000002E-3</v>
      </c>
      <c r="V34" s="1611">
        <f t="shared" si="29"/>
        <v>1.18195E-2</v>
      </c>
    </row>
    <row r="35" spans="2:22" ht="20.25">
      <c r="B35" s="1605">
        <v>4</v>
      </c>
      <c r="C35" s="1606" t="s">
        <v>2653</v>
      </c>
      <c r="D35" s="1607">
        <f>VLOOKUP(C35,'[5]New recruits'!$B$3:$F$17,4,FALSE)</f>
        <v>27</v>
      </c>
      <c r="E35" s="1605">
        <f>10900+4450</f>
        <v>15350</v>
      </c>
      <c r="F35" s="1605">
        <f t="shared" si="15"/>
        <v>0</v>
      </c>
      <c r="G35" s="1605">
        <f t="shared" si="16"/>
        <v>89797.5</v>
      </c>
      <c r="H35" s="1605">
        <f t="shared" si="17"/>
        <v>2302.5</v>
      </c>
      <c r="I35" s="1605">
        <f t="shared" si="18"/>
        <v>6000</v>
      </c>
      <c r="J35" s="1605">
        <f t="shared" si="19"/>
        <v>12000</v>
      </c>
      <c r="K35" s="1605">
        <f t="shared" si="20"/>
        <v>1535</v>
      </c>
      <c r="L35" s="1605">
        <f t="shared" si="21"/>
        <v>2.8170625000000001E-3</v>
      </c>
      <c r="M35" s="1609">
        <f t="shared" si="22"/>
        <v>3.3804750000000001E-2</v>
      </c>
      <c r="N35" s="1609">
        <f t="shared" si="23"/>
        <v>0.91272825000000002</v>
      </c>
      <c r="Q35" s="1611">
        <f t="shared" si="24"/>
        <v>4.1445000000000003E-2</v>
      </c>
      <c r="R35" s="1611">
        <f t="shared" si="25"/>
        <v>2.6939250000000001E-2</v>
      </c>
      <c r="S35" s="1611">
        <f t="shared" si="26"/>
        <v>6.2167500000000001E-3</v>
      </c>
      <c r="T35" s="1611">
        <f t="shared" si="27"/>
        <v>1.3500000000000001E-3</v>
      </c>
      <c r="U35" s="1611">
        <f t="shared" si="28"/>
        <v>2.7000000000000001E-3</v>
      </c>
      <c r="V35" s="1611">
        <f t="shared" si="29"/>
        <v>4.1444999999999997E-3</v>
      </c>
    </row>
    <row r="36" spans="2:22" ht="20.25">
      <c r="B36" s="1605">
        <v>5</v>
      </c>
      <c r="C36" s="1606" t="s">
        <v>2656</v>
      </c>
      <c r="D36" s="1607">
        <f>VLOOKUP(C36,'[5]New recruits'!$B$3:$F$17,4,FALSE)</f>
        <v>3</v>
      </c>
      <c r="E36" s="1605">
        <f>16650+5800</f>
        <v>22450</v>
      </c>
      <c r="F36" s="1605">
        <f t="shared" si="15"/>
        <v>0</v>
      </c>
      <c r="G36" s="1605">
        <f t="shared" si="16"/>
        <v>131332.5</v>
      </c>
      <c r="H36" s="1605">
        <f t="shared" si="17"/>
        <v>3367.5</v>
      </c>
      <c r="I36" s="1605">
        <f t="shared" si="18"/>
        <v>6000</v>
      </c>
      <c r="J36" s="1605">
        <f t="shared" si="19"/>
        <v>12000</v>
      </c>
      <c r="K36" s="1605">
        <f t="shared" si="20"/>
        <v>2245</v>
      </c>
      <c r="L36" s="1605">
        <f t="shared" si="21"/>
        <v>4.0506874999999996E-3</v>
      </c>
      <c r="M36" s="1609">
        <f t="shared" si="22"/>
        <v>4.8608249999999999E-2</v>
      </c>
      <c r="N36" s="1609">
        <f t="shared" si="23"/>
        <v>0.14582475</v>
      </c>
      <c r="Q36" s="1611">
        <f t="shared" si="24"/>
        <v>6.7349999999999997E-3</v>
      </c>
      <c r="R36" s="1611">
        <f t="shared" si="25"/>
        <v>4.3777499999999997E-3</v>
      </c>
      <c r="S36" s="1611">
        <f t="shared" si="26"/>
        <v>1.0102500000000001E-3</v>
      </c>
      <c r="T36" s="1611">
        <f t="shared" si="27"/>
        <v>1.4999999999999999E-4</v>
      </c>
      <c r="U36" s="1611">
        <f t="shared" si="28"/>
        <v>2.9999999999999997E-4</v>
      </c>
      <c r="V36" s="1611">
        <f t="shared" si="29"/>
        <v>6.7350000000000005E-4</v>
      </c>
    </row>
    <row r="37" spans="2:22" ht="20.25">
      <c r="B37" s="1605">
        <v>6</v>
      </c>
      <c r="C37" s="1606" t="s">
        <v>2657</v>
      </c>
      <c r="D37" s="1607">
        <f>VLOOKUP(C37,'[5]New recruits'!$B$3:$F$17,4,FALSE)</f>
        <v>0</v>
      </c>
      <c r="E37" s="1605">
        <f>10900+5500</f>
        <v>16400</v>
      </c>
      <c r="F37" s="1605">
        <f t="shared" si="15"/>
        <v>0</v>
      </c>
      <c r="G37" s="1605">
        <f t="shared" si="16"/>
        <v>95940</v>
      </c>
      <c r="H37" s="1605">
        <f t="shared" si="17"/>
        <v>2460</v>
      </c>
      <c r="I37" s="1605">
        <f t="shared" si="18"/>
        <v>6000</v>
      </c>
      <c r="J37" s="1605">
        <f t="shared" si="19"/>
        <v>12000</v>
      </c>
      <c r="K37" s="1605">
        <f t="shared" si="20"/>
        <v>1640</v>
      </c>
      <c r="L37" s="1605">
        <f t="shared" si="21"/>
        <v>2.9995E-3</v>
      </c>
      <c r="M37" s="1609">
        <f t="shared" si="22"/>
        <v>3.5993999999999998E-2</v>
      </c>
      <c r="N37" s="1609">
        <f t="shared" si="23"/>
        <v>0</v>
      </c>
      <c r="Q37" s="1611">
        <f t="shared" si="24"/>
        <v>0</v>
      </c>
      <c r="R37" s="1611">
        <f t="shared" si="25"/>
        <v>0</v>
      </c>
      <c r="S37" s="1611">
        <f t="shared" si="26"/>
        <v>0</v>
      </c>
      <c r="T37" s="1611">
        <f t="shared" si="27"/>
        <v>0</v>
      </c>
      <c r="U37" s="1611">
        <f t="shared" si="28"/>
        <v>0</v>
      </c>
      <c r="V37" s="1611">
        <f t="shared" si="29"/>
        <v>0</v>
      </c>
    </row>
    <row r="38" spans="2:22" ht="20.25">
      <c r="B38" s="1605" t="s">
        <v>2397</v>
      </c>
      <c r="C38" s="1606" t="s">
        <v>2408</v>
      </c>
      <c r="D38" s="1607">
        <f>VLOOKUP(C38,'[5]New recruits'!$B$3:$F$17,4,FALSE)</f>
        <v>20</v>
      </c>
      <c r="E38" s="1605">
        <f>6400+3200</f>
        <v>9600</v>
      </c>
      <c r="F38" s="1605">
        <f t="shared" si="15"/>
        <v>0</v>
      </c>
      <c r="G38" s="1605">
        <f t="shared" si="16"/>
        <v>56160</v>
      </c>
      <c r="H38" s="1605">
        <f t="shared" si="17"/>
        <v>1440</v>
      </c>
      <c r="I38" s="1605">
        <f t="shared" si="18"/>
        <v>6000</v>
      </c>
      <c r="J38" s="1605">
        <f t="shared" si="19"/>
        <v>12000</v>
      </c>
      <c r="K38" s="1605">
        <f t="shared" si="20"/>
        <v>960</v>
      </c>
      <c r="L38" s="1605">
        <f t="shared" si="21"/>
        <v>1.818E-3</v>
      </c>
      <c r="M38" s="1609">
        <f t="shared" si="22"/>
        <v>2.1815999999999999E-2</v>
      </c>
      <c r="N38" s="1609">
        <f t="shared" si="23"/>
        <v>0.43631999999999999</v>
      </c>
      <c r="Q38" s="1611">
        <f t="shared" si="24"/>
        <v>1.9199999999999998E-2</v>
      </c>
      <c r="R38" s="1611">
        <f t="shared" si="25"/>
        <v>1.248E-2</v>
      </c>
      <c r="S38" s="1611">
        <f t="shared" si="26"/>
        <v>2.8800000000000002E-3</v>
      </c>
      <c r="T38" s="1611">
        <f t="shared" si="27"/>
        <v>1E-3</v>
      </c>
      <c r="U38" s="1611">
        <f t="shared" si="28"/>
        <v>2E-3</v>
      </c>
      <c r="V38" s="1611">
        <f t="shared" si="29"/>
        <v>1.92E-3</v>
      </c>
    </row>
    <row r="39" spans="2:22" ht="20.25">
      <c r="B39" s="1605" t="s">
        <v>2398</v>
      </c>
      <c r="C39" s="1606" t="s">
        <v>2407</v>
      </c>
      <c r="D39" s="1607">
        <f>VLOOKUP(C39,'[5]New recruits'!$B$3:$F$17,4,FALSE)</f>
        <v>60</v>
      </c>
      <c r="E39" s="1605">
        <f>6400+3200</f>
        <v>9600</v>
      </c>
      <c r="F39" s="1605">
        <f t="shared" si="15"/>
        <v>0</v>
      </c>
      <c r="G39" s="1605">
        <f t="shared" si="16"/>
        <v>56160</v>
      </c>
      <c r="H39" s="1605">
        <f t="shared" si="17"/>
        <v>1440</v>
      </c>
      <c r="I39" s="1605">
        <f t="shared" si="18"/>
        <v>6000</v>
      </c>
      <c r="J39" s="1605">
        <f t="shared" si="19"/>
        <v>12000</v>
      </c>
      <c r="K39" s="1605">
        <f t="shared" si="20"/>
        <v>960</v>
      </c>
      <c r="L39" s="1605">
        <f t="shared" si="21"/>
        <v>1.818E-3</v>
      </c>
      <c r="M39" s="1609">
        <f t="shared" si="22"/>
        <v>2.1815999999999999E-2</v>
      </c>
      <c r="N39" s="1609">
        <f t="shared" si="23"/>
        <v>1.3089599999999999</v>
      </c>
      <c r="Q39" s="1611">
        <f t="shared" si="24"/>
        <v>5.7599999999999998E-2</v>
      </c>
      <c r="R39" s="1611">
        <f t="shared" si="25"/>
        <v>3.7440000000000001E-2</v>
      </c>
      <c r="S39" s="1611">
        <f t="shared" si="26"/>
        <v>8.6400000000000001E-3</v>
      </c>
      <c r="T39" s="1611">
        <f t="shared" si="27"/>
        <v>3.0000000000000001E-3</v>
      </c>
      <c r="U39" s="1611">
        <f t="shared" si="28"/>
        <v>6.0000000000000001E-3</v>
      </c>
      <c r="V39" s="1611">
        <f t="shared" si="29"/>
        <v>5.7600000000000004E-3</v>
      </c>
    </row>
    <row r="40" spans="2:22" ht="20.25">
      <c r="B40" s="1605">
        <v>8</v>
      </c>
      <c r="C40" s="1606" t="s">
        <v>2409</v>
      </c>
      <c r="D40" s="1607">
        <f>VLOOKUP(C40,'[5]New recruits'!$B$3:$F$17,4,FALSE)</f>
        <v>229</v>
      </c>
      <c r="E40" s="1605">
        <f>6400+2950</f>
        <v>9350</v>
      </c>
      <c r="F40" s="1605">
        <f t="shared" si="15"/>
        <v>0</v>
      </c>
      <c r="G40" s="1605">
        <f t="shared" si="16"/>
        <v>54697.5</v>
      </c>
      <c r="H40" s="1605">
        <f t="shared" si="17"/>
        <v>1402.5</v>
      </c>
      <c r="I40" s="1605">
        <f t="shared" si="18"/>
        <v>6000</v>
      </c>
      <c r="J40" s="1605">
        <f t="shared" si="19"/>
        <v>12000</v>
      </c>
      <c r="K40" s="1605">
        <f t="shared" si="20"/>
        <v>935</v>
      </c>
      <c r="L40" s="1605">
        <f t="shared" si="21"/>
        <v>1.7745625000000001E-3</v>
      </c>
      <c r="M40" s="1609">
        <f t="shared" si="22"/>
        <v>2.1294750000000001E-2</v>
      </c>
      <c r="N40" s="1609">
        <f t="shared" si="23"/>
        <v>4.8764977500000004</v>
      </c>
      <c r="Q40" s="1611">
        <f t="shared" si="24"/>
        <v>0.214115</v>
      </c>
      <c r="R40" s="1611">
        <f t="shared" si="25"/>
        <v>0.13917475000000001</v>
      </c>
      <c r="S40" s="1611">
        <f t="shared" si="26"/>
        <v>3.211725E-2</v>
      </c>
      <c r="T40" s="1611">
        <f t="shared" si="27"/>
        <v>1.145E-2</v>
      </c>
      <c r="U40" s="1611">
        <f t="shared" si="28"/>
        <v>2.29E-2</v>
      </c>
      <c r="V40" s="1611">
        <f t="shared" si="29"/>
        <v>2.14115E-2</v>
      </c>
    </row>
    <row r="41" spans="2:22" ht="20.25">
      <c r="B41" s="1605" t="s">
        <v>2399</v>
      </c>
      <c r="C41" s="1606" t="s">
        <v>2658</v>
      </c>
      <c r="D41" s="1607">
        <f>VLOOKUP(C41,'[5]New recruits'!$B$3:$F$17,4,FALSE)</f>
        <v>10</v>
      </c>
      <c r="E41" s="1605">
        <f>10900+4450</f>
        <v>15350</v>
      </c>
      <c r="F41" s="1605">
        <f t="shared" si="15"/>
        <v>0</v>
      </c>
      <c r="G41" s="1605">
        <f t="shared" si="16"/>
        <v>89797.5</v>
      </c>
      <c r="H41" s="1605">
        <f t="shared" si="17"/>
        <v>2302.5</v>
      </c>
      <c r="I41" s="1605">
        <f t="shared" si="18"/>
        <v>6000</v>
      </c>
      <c r="J41" s="1605">
        <f t="shared" si="19"/>
        <v>12000</v>
      </c>
      <c r="K41" s="1605">
        <f t="shared" si="20"/>
        <v>1535</v>
      </c>
      <c r="L41" s="1605">
        <f t="shared" si="21"/>
        <v>2.8170625000000001E-3</v>
      </c>
      <c r="M41" s="1609">
        <f t="shared" si="22"/>
        <v>3.3804750000000001E-2</v>
      </c>
      <c r="N41" s="1609">
        <f t="shared" si="23"/>
        <v>0.3380475</v>
      </c>
      <c r="Q41" s="1611">
        <f t="shared" si="24"/>
        <v>1.5350000000000001E-2</v>
      </c>
      <c r="R41" s="1611">
        <f t="shared" si="25"/>
        <v>9.9775000000000003E-3</v>
      </c>
      <c r="S41" s="1611">
        <f t="shared" si="26"/>
        <v>2.3024999999999999E-3</v>
      </c>
      <c r="T41" s="1611">
        <f t="shared" si="27"/>
        <v>5.0000000000000001E-4</v>
      </c>
      <c r="U41" s="1611">
        <f t="shared" si="28"/>
        <v>1E-3</v>
      </c>
      <c r="V41" s="1611">
        <f t="shared" si="29"/>
        <v>1.5349999999999999E-3</v>
      </c>
    </row>
    <row r="42" spans="2:22" ht="20.25">
      <c r="B42" s="1605" t="s">
        <v>2400</v>
      </c>
      <c r="C42" s="1606" t="s">
        <v>2659</v>
      </c>
      <c r="D42" s="1607">
        <f>VLOOKUP(C42,'[5]New recruits'!$B$3:$F$17,4,FALSE)</f>
        <v>3</v>
      </c>
      <c r="E42" s="1605">
        <f>10900+4450</f>
        <v>15350</v>
      </c>
      <c r="F42" s="1605">
        <f t="shared" si="15"/>
        <v>0</v>
      </c>
      <c r="G42" s="1605">
        <f t="shared" si="16"/>
        <v>89797.5</v>
      </c>
      <c r="H42" s="1605">
        <f t="shared" si="17"/>
        <v>2302.5</v>
      </c>
      <c r="I42" s="1605">
        <f t="shared" si="18"/>
        <v>6000</v>
      </c>
      <c r="J42" s="1605">
        <f t="shared" si="19"/>
        <v>12000</v>
      </c>
      <c r="K42" s="1605">
        <f t="shared" si="20"/>
        <v>1535</v>
      </c>
      <c r="L42" s="1605">
        <f t="shared" si="21"/>
        <v>2.8170625000000001E-3</v>
      </c>
      <c r="M42" s="1609">
        <f t="shared" si="22"/>
        <v>3.3804750000000001E-2</v>
      </c>
      <c r="N42" s="1609">
        <f t="shared" si="23"/>
        <v>0.10141425000000001</v>
      </c>
      <c r="Q42" s="1611">
        <f t="shared" si="24"/>
        <v>4.6049999999999997E-3</v>
      </c>
      <c r="R42" s="1611">
        <f t="shared" si="25"/>
        <v>2.9932499999999998E-3</v>
      </c>
      <c r="S42" s="1611">
        <f t="shared" si="26"/>
        <v>6.9074999999999996E-4</v>
      </c>
      <c r="T42" s="1611">
        <f t="shared" si="27"/>
        <v>1.4999999999999999E-4</v>
      </c>
      <c r="U42" s="1611">
        <f t="shared" si="28"/>
        <v>2.9999999999999997E-4</v>
      </c>
      <c r="V42" s="1611">
        <f t="shared" si="29"/>
        <v>4.6050000000000003E-4</v>
      </c>
    </row>
    <row r="43" spans="2:22" ht="20.25">
      <c r="B43" s="1605">
        <v>10</v>
      </c>
      <c r="C43" s="1606" t="s">
        <v>2655</v>
      </c>
      <c r="D43" s="1607">
        <f>VLOOKUP(C43,'[5]New recruits'!$B$3:$F$17,4,FALSE)</f>
        <v>1</v>
      </c>
      <c r="E43" s="1605">
        <f>16650+5800</f>
        <v>22450</v>
      </c>
      <c r="F43" s="1605">
        <f t="shared" si="15"/>
        <v>0</v>
      </c>
      <c r="G43" s="1605">
        <f t="shared" si="16"/>
        <v>131332.5</v>
      </c>
      <c r="H43" s="1605">
        <f t="shared" si="17"/>
        <v>3367.5</v>
      </c>
      <c r="I43" s="1605">
        <f t="shared" si="18"/>
        <v>6000</v>
      </c>
      <c r="J43" s="1605">
        <f t="shared" si="19"/>
        <v>12000</v>
      </c>
      <c r="K43" s="1605">
        <f t="shared" si="20"/>
        <v>2245</v>
      </c>
      <c r="L43" s="1605">
        <f t="shared" si="21"/>
        <v>4.0506874999999996E-3</v>
      </c>
      <c r="M43" s="1609">
        <f t="shared" si="22"/>
        <v>4.8608249999999999E-2</v>
      </c>
      <c r="N43" s="1609">
        <f t="shared" si="23"/>
        <v>4.8608249999999999E-2</v>
      </c>
      <c r="Q43" s="1611">
        <f t="shared" si="24"/>
        <v>2.245E-3</v>
      </c>
      <c r="R43" s="1611">
        <f t="shared" si="25"/>
        <v>1.45925E-3</v>
      </c>
      <c r="S43" s="1611">
        <f t="shared" si="26"/>
        <v>3.3675000000000003E-4</v>
      </c>
      <c r="T43" s="1611">
        <f t="shared" si="27"/>
        <v>5.0000000000000002E-5</v>
      </c>
      <c r="U43" s="1611">
        <f t="shared" si="28"/>
        <v>1E-4</v>
      </c>
      <c r="V43" s="1611">
        <f t="shared" si="29"/>
        <v>2.2450000000000001E-4</v>
      </c>
    </row>
    <row r="44" spans="2:22" ht="20.25">
      <c r="B44" s="1605">
        <v>11</v>
      </c>
      <c r="C44" s="1606" t="s">
        <v>2654</v>
      </c>
      <c r="D44" s="1607">
        <f>VLOOKUP(C44,'[5]New recruits'!$B$3:$F$17,4,FALSE)</f>
        <v>0</v>
      </c>
      <c r="E44" s="1605">
        <f>16650+5800</f>
        <v>22450</v>
      </c>
      <c r="F44" s="1605">
        <f t="shared" si="15"/>
        <v>0</v>
      </c>
      <c r="G44" s="1605">
        <f t="shared" si="16"/>
        <v>131332.5</v>
      </c>
      <c r="H44" s="1605">
        <f t="shared" si="17"/>
        <v>3367.5</v>
      </c>
      <c r="I44" s="1605">
        <f t="shared" si="18"/>
        <v>6000</v>
      </c>
      <c r="J44" s="1605">
        <f t="shared" si="19"/>
        <v>12000</v>
      </c>
      <c r="K44" s="1605">
        <f t="shared" si="20"/>
        <v>2245</v>
      </c>
      <c r="L44" s="1605">
        <f t="shared" si="21"/>
        <v>4.0506874999999996E-3</v>
      </c>
      <c r="M44" s="1609">
        <f t="shared" si="22"/>
        <v>4.8608249999999999E-2</v>
      </c>
      <c r="N44" s="1609">
        <f t="shared" si="23"/>
        <v>0</v>
      </c>
      <c r="Q44" s="1611">
        <f t="shared" si="24"/>
        <v>0</v>
      </c>
      <c r="R44" s="1611">
        <f t="shared" si="25"/>
        <v>0</v>
      </c>
      <c r="S44" s="1611">
        <f t="shared" si="26"/>
        <v>0</v>
      </c>
      <c r="T44" s="1611">
        <f t="shared" si="27"/>
        <v>0</v>
      </c>
      <c r="U44" s="1611">
        <f t="shared" si="28"/>
        <v>0</v>
      </c>
      <c r="V44" s="1611">
        <f t="shared" si="29"/>
        <v>0</v>
      </c>
    </row>
    <row r="45" spans="2:22" ht="20.25">
      <c r="B45" s="1605">
        <v>12</v>
      </c>
      <c r="C45" s="1606" t="s">
        <v>2413</v>
      </c>
      <c r="D45" s="1607">
        <f>VLOOKUP(C45,'[5]New recruits'!$B$3:$F$17,4,FALSE)</f>
        <v>10</v>
      </c>
      <c r="E45" s="1605">
        <f>10900+4700</f>
        <v>15600</v>
      </c>
      <c r="F45" s="1605">
        <f t="shared" si="15"/>
        <v>0</v>
      </c>
      <c r="G45" s="1605">
        <f t="shared" si="16"/>
        <v>91260</v>
      </c>
      <c r="H45" s="1605">
        <f t="shared" si="17"/>
        <v>2340</v>
      </c>
      <c r="I45" s="1605">
        <f t="shared" si="18"/>
        <v>6000</v>
      </c>
      <c r="J45" s="1605">
        <f t="shared" si="19"/>
        <v>12000</v>
      </c>
      <c r="K45" s="1605">
        <f t="shared" si="20"/>
        <v>1560</v>
      </c>
      <c r="L45" s="1605">
        <f t="shared" si="21"/>
        <v>2.8605000000000002E-3</v>
      </c>
      <c r="M45" s="1609">
        <f t="shared" si="22"/>
        <v>3.4326000000000002E-2</v>
      </c>
      <c r="N45" s="1609">
        <f t="shared" si="23"/>
        <v>0.34326000000000001</v>
      </c>
      <c r="Q45" s="1611">
        <f t="shared" si="24"/>
        <v>1.5599999999999999E-2</v>
      </c>
      <c r="R45" s="1611">
        <f t="shared" si="25"/>
        <v>1.014E-2</v>
      </c>
      <c r="S45" s="1611">
        <f t="shared" si="26"/>
        <v>2.3400000000000001E-3</v>
      </c>
      <c r="T45" s="1611">
        <f t="shared" si="27"/>
        <v>5.0000000000000001E-4</v>
      </c>
      <c r="U45" s="1611">
        <f t="shared" si="28"/>
        <v>1E-3</v>
      </c>
      <c r="V45" s="1611">
        <f t="shared" si="29"/>
        <v>1.56E-3</v>
      </c>
    </row>
    <row r="46" spans="2:22" ht="20.25">
      <c r="B46" s="1605">
        <v>13</v>
      </c>
      <c r="C46" s="1606" t="s">
        <v>2414</v>
      </c>
      <c r="D46" s="1607">
        <f>VLOOKUP(C46,'[5]New recruits'!$B$3:$F$17,4,FALSE)</f>
        <v>20</v>
      </c>
      <c r="E46" s="1605">
        <f>6400+2450</f>
        <v>8850</v>
      </c>
      <c r="F46" s="1605">
        <f t="shared" si="15"/>
        <v>0</v>
      </c>
      <c r="G46" s="1605">
        <f t="shared" si="16"/>
        <v>51772.5</v>
      </c>
      <c r="H46" s="1605">
        <f t="shared" si="17"/>
        <v>1327.5</v>
      </c>
      <c r="I46" s="1605">
        <f t="shared" si="18"/>
        <v>6000</v>
      </c>
      <c r="J46" s="1605">
        <f t="shared" si="19"/>
        <v>12000</v>
      </c>
      <c r="K46" s="1605">
        <f t="shared" si="20"/>
        <v>885</v>
      </c>
      <c r="L46" s="1605">
        <f t="shared" si="21"/>
        <v>1.6876875E-3</v>
      </c>
      <c r="M46" s="1609">
        <f t="shared" si="22"/>
        <v>2.0252249999999999E-2</v>
      </c>
      <c r="N46" s="1609">
        <f t="shared" si="23"/>
        <v>0.40504499999999999</v>
      </c>
      <c r="Q46" s="1611">
        <f t="shared" si="24"/>
        <v>1.77E-2</v>
      </c>
      <c r="R46" s="1611">
        <f t="shared" si="25"/>
        <v>1.1505000000000001E-2</v>
      </c>
      <c r="S46" s="1611">
        <f t="shared" si="26"/>
        <v>2.6549999999999998E-3</v>
      </c>
      <c r="T46" s="1611">
        <f t="shared" si="27"/>
        <v>1E-3</v>
      </c>
      <c r="U46" s="1611">
        <f t="shared" si="28"/>
        <v>2E-3</v>
      </c>
      <c r="V46" s="1611">
        <f t="shared" si="29"/>
        <v>1.7700000000000001E-3</v>
      </c>
    </row>
    <row r="47" spans="2:22" ht="20.25">
      <c r="B47" s="1606"/>
      <c r="C47" s="1612" t="s">
        <v>287</v>
      </c>
      <c r="D47" s="1613">
        <f>SUM(D32:D46)</f>
        <v>554</v>
      </c>
      <c r="E47" s="1605"/>
      <c r="F47" s="1605"/>
      <c r="G47" s="1605"/>
      <c r="H47" s="1605"/>
      <c r="I47" s="1605"/>
      <c r="J47" s="1605"/>
      <c r="K47" s="1605"/>
      <c r="L47" s="1605"/>
      <c r="M47" s="1605"/>
      <c r="N47" s="1614">
        <f>SUM(N32:N46)</f>
        <v>16.088847000000001</v>
      </c>
      <c r="P47" s="1610" t="s">
        <v>287</v>
      </c>
      <c r="Q47" s="1611">
        <f>SUM(Q32:Q46)</f>
        <v>0.72382000000000002</v>
      </c>
      <c r="R47" s="1611">
        <f>SUM(R32:R46)</f>
        <v>0.47048299999999998</v>
      </c>
      <c r="S47" s="1611">
        <f>SUM(S32:S46)</f>
        <v>0.108573</v>
      </c>
      <c r="T47" s="1611">
        <f t="shared" si="27"/>
        <v>0</v>
      </c>
      <c r="U47" s="1611">
        <f t="shared" si="28"/>
        <v>0</v>
      </c>
      <c r="V47" s="1611">
        <f>SUM(V32:V46)</f>
        <v>7.2382000000000002E-2</v>
      </c>
    </row>
    <row r="49" spans="17:22">
      <c r="Q49" s="1618" t="s">
        <v>2381</v>
      </c>
      <c r="R49" s="1618" t="s">
        <v>2645</v>
      </c>
      <c r="S49" s="1618" t="s">
        <v>2257</v>
      </c>
      <c r="T49" s="1618" t="s">
        <v>2660</v>
      </c>
      <c r="U49" s="1618" t="s">
        <v>2396</v>
      </c>
      <c r="V49" s="1618" t="s">
        <v>2258</v>
      </c>
    </row>
  </sheetData>
  <sheetProtection selectLockedCells="1" selectUnlockedCells="1"/>
  <mergeCells count="6">
    <mergeCell ref="Q31:U31"/>
    <mergeCell ref="B1:M1"/>
    <mergeCell ref="B2:M2"/>
    <mergeCell ref="B3:M3"/>
    <mergeCell ref="B4:M4"/>
    <mergeCell ref="Q7:U7"/>
  </mergeCells>
  <pageMargins left="0.7" right="0.7" top="0.75" bottom="0.75" header="0.3" footer="0.3"/>
  <pageSetup paperSize="9" scale="64" firstPageNumber="119" orientation="landscape" useFirstPageNumber="1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3"/>
  <sheetViews>
    <sheetView view="pageBreakPreview" topLeftCell="B1" zoomScale="69" zoomScaleNormal="70" zoomScaleSheetLayoutView="69" workbookViewId="0">
      <selection activeCell="C3" sqref="C3:Y3"/>
    </sheetView>
  </sheetViews>
  <sheetFormatPr defaultRowHeight="15.75"/>
  <cols>
    <col min="1" max="1" width="9.140625" style="1" hidden="1" customWidth="1"/>
    <col min="2" max="2" width="4.140625" style="1" customWidth="1"/>
    <col min="3" max="3" width="8.85546875" style="1" customWidth="1"/>
    <col min="4" max="4" width="36.28515625" style="2105" customWidth="1"/>
    <col min="5" max="5" width="11.85546875" style="1" hidden="1" customWidth="1"/>
    <col min="6" max="6" width="10.140625" style="1" hidden="1" customWidth="1"/>
    <col min="7" max="7" width="12.140625" style="1" hidden="1" customWidth="1"/>
    <col min="8" max="8" width="12.5703125" style="1" hidden="1" customWidth="1"/>
    <col min="9" max="9" width="11.42578125" style="1" hidden="1" customWidth="1"/>
    <col min="10" max="10" width="10.85546875" style="1" hidden="1" customWidth="1"/>
    <col min="11" max="12" width="14.140625" style="1" customWidth="1"/>
    <col min="13" max="14" width="16.140625" style="1" customWidth="1"/>
    <col min="15" max="15" width="11.7109375" style="1" hidden="1" customWidth="1"/>
    <col min="16" max="16" width="10.28515625" style="1" hidden="1" customWidth="1"/>
    <col min="17" max="20" width="14.85546875" style="1" customWidth="1"/>
    <col min="21" max="22" width="11.28515625" style="1" hidden="1" customWidth="1"/>
    <col min="23" max="24" width="13.85546875" style="1" customWidth="1"/>
    <col min="25" max="26" width="16.28515625" style="1" customWidth="1"/>
    <col min="27" max="16384" width="9.140625" style="1"/>
  </cols>
  <sheetData>
    <row r="1" spans="1:28" ht="18.75">
      <c r="D1" s="54"/>
      <c r="E1" s="71"/>
      <c r="F1" s="71"/>
      <c r="G1" s="71"/>
      <c r="H1" s="71"/>
      <c r="I1" s="71"/>
      <c r="J1" s="71"/>
      <c r="Y1" s="2445" t="s">
        <v>2803</v>
      </c>
      <c r="Z1" s="2445"/>
    </row>
    <row r="2" spans="1:28" ht="15.75" customHeight="1">
      <c r="C2" s="2418" t="s">
        <v>2549</v>
      </c>
      <c r="D2" s="2418"/>
      <c r="E2" s="2418"/>
      <c r="F2" s="2418"/>
      <c r="G2" s="2418"/>
      <c r="H2" s="2418"/>
      <c r="I2" s="2418"/>
      <c r="J2" s="2418"/>
      <c r="K2" s="2418"/>
      <c r="L2" s="2418"/>
      <c r="M2" s="2418"/>
      <c r="N2" s="2418"/>
      <c r="O2" s="2418"/>
      <c r="P2" s="2418"/>
      <c r="Q2" s="2418"/>
      <c r="R2" s="2418"/>
      <c r="S2" s="2418"/>
      <c r="T2" s="2418"/>
      <c r="U2" s="2418"/>
      <c r="V2" s="2418"/>
      <c r="W2" s="2418"/>
      <c r="X2" s="2418"/>
      <c r="Y2" s="2418"/>
      <c r="Z2" s="2208"/>
      <c r="AA2" s="2208"/>
    </row>
    <row r="3" spans="1:28" ht="15.75" customHeight="1">
      <c r="C3" s="2419" t="s">
        <v>2689</v>
      </c>
      <c r="D3" s="2419"/>
      <c r="E3" s="2419"/>
      <c r="F3" s="2419"/>
      <c r="G3" s="2419"/>
      <c r="H3" s="2419"/>
      <c r="I3" s="2419"/>
      <c r="J3" s="2419"/>
      <c r="K3" s="2419"/>
      <c r="L3" s="2419"/>
      <c r="M3" s="2419"/>
      <c r="N3" s="2419"/>
      <c r="O3" s="2419"/>
      <c r="P3" s="2419"/>
      <c r="Q3" s="2419"/>
      <c r="R3" s="2419"/>
      <c r="S3" s="2419"/>
      <c r="T3" s="2419"/>
      <c r="U3" s="2419"/>
      <c r="V3" s="2419"/>
      <c r="W3" s="2419"/>
      <c r="X3" s="2419"/>
      <c r="Y3" s="2419"/>
      <c r="Z3" s="2444"/>
      <c r="AA3" s="2444"/>
    </row>
    <row r="4" spans="1:28" ht="15.75" customHeight="1">
      <c r="C4" s="2419" t="s">
        <v>2571</v>
      </c>
      <c r="D4" s="2419"/>
      <c r="E4" s="2419"/>
      <c r="F4" s="2419"/>
      <c r="G4" s="2419"/>
      <c r="H4" s="2419"/>
      <c r="I4" s="2419"/>
      <c r="J4" s="2419"/>
      <c r="K4" s="2419"/>
      <c r="L4" s="2419"/>
      <c r="M4" s="2419"/>
      <c r="N4" s="2419"/>
      <c r="O4" s="2419"/>
      <c r="P4" s="2419"/>
      <c r="Q4" s="2419"/>
      <c r="R4" s="2419"/>
      <c r="S4" s="2419"/>
      <c r="T4" s="2419"/>
      <c r="U4" s="2419"/>
      <c r="V4" s="2419"/>
      <c r="W4" s="2419"/>
      <c r="X4" s="2419"/>
      <c r="Y4" s="2419"/>
      <c r="Z4" s="2209"/>
      <c r="AA4" s="2209"/>
    </row>
    <row r="5" spans="1:28" ht="15.75" customHeight="1">
      <c r="C5" s="2419" t="s">
        <v>2543</v>
      </c>
      <c r="D5" s="2419"/>
      <c r="E5" s="2419"/>
      <c r="F5" s="2419"/>
      <c r="G5" s="2419"/>
      <c r="H5" s="2419"/>
      <c r="I5" s="2419"/>
      <c r="J5" s="2419"/>
      <c r="K5" s="2419"/>
      <c r="L5" s="2419"/>
      <c r="M5" s="2419"/>
      <c r="N5" s="2419"/>
      <c r="O5" s="2419"/>
      <c r="P5" s="2419"/>
      <c r="Q5" s="2419"/>
      <c r="R5" s="2419"/>
      <c r="S5" s="2419"/>
      <c r="T5" s="2419"/>
      <c r="U5" s="2419"/>
      <c r="V5" s="2419"/>
      <c r="W5" s="2419"/>
      <c r="X5" s="2419"/>
      <c r="Y5" s="2419"/>
      <c r="Z5" s="2209"/>
      <c r="AA5" s="2209"/>
    </row>
    <row r="6" spans="1:28" ht="16.5" customHeight="1">
      <c r="D6" s="2101"/>
      <c r="E6" s="1794"/>
      <c r="F6" s="1794"/>
      <c r="G6" s="1794"/>
      <c r="H6" s="1794"/>
      <c r="Q6" s="1794"/>
      <c r="R6" s="1794"/>
      <c r="S6" s="2444" t="s">
        <v>329</v>
      </c>
      <c r="T6" s="2444"/>
      <c r="U6" s="2444"/>
      <c r="V6" s="2444"/>
      <c r="W6" s="2444"/>
      <c r="X6" s="2444"/>
      <c r="Y6" s="2444"/>
      <c r="Z6" s="2212"/>
    </row>
    <row r="7" spans="1:28" ht="15.75" customHeight="1">
      <c r="C7" s="2443" t="s">
        <v>1003</v>
      </c>
      <c r="D7" s="2443" t="s">
        <v>282</v>
      </c>
      <c r="E7" s="2236"/>
      <c r="F7" s="2236"/>
      <c r="G7" s="2236"/>
      <c r="H7" s="2236"/>
      <c r="I7" s="2443" t="s">
        <v>2539</v>
      </c>
      <c r="J7" s="2443"/>
      <c r="K7" s="2443"/>
      <c r="L7" s="2443"/>
      <c r="M7" s="2443"/>
      <c r="N7" s="2443"/>
      <c r="O7" s="2446" t="s">
        <v>2540</v>
      </c>
      <c r="P7" s="2446"/>
      <c r="Q7" s="2446"/>
      <c r="R7" s="2446"/>
      <c r="S7" s="2446"/>
      <c r="T7" s="2446"/>
      <c r="U7" s="2446" t="s">
        <v>2541</v>
      </c>
      <c r="V7" s="2446"/>
      <c r="W7" s="2446"/>
      <c r="X7" s="2446"/>
      <c r="Y7" s="2446"/>
      <c r="Z7" s="2446"/>
    </row>
    <row r="8" spans="1:28" ht="15.75" customHeight="1">
      <c r="C8" s="2443"/>
      <c r="D8" s="2443"/>
      <c r="E8" s="2443" t="s">
        <v>1034</v>
      </c>
      <c r="F8" s="2443"/>
      <c r="G8" s="2443"/>
      <c r="H8" s="2443"/>
      <c r="I8" s="2443" t="s">
        <v>1752</v>
      </c>
      <c r="J8" s="2443"/>
      <c r="K8" s="2443"/>
      <c r="L8" s="2443"/>
      <c r="M8" s="2443" t="s">
        <v>2590</v>
      </c>
      <c r="N8" s="2443"/>
      <c r="O8" s="2443" t="s">
        <v>1752</v>
      </c>
      <c r="P8" s="2443"/>
      <c r="Q8" s="2443"/>
      <c r="R8" s="2443"/>
      <c r="S8" s="2443" t="s">
        <v>2590</v>
      </c>
      <c r="T8" s="2443"/>
      <c r="U8" s="2443" t="s">
        <v>1752</v>
      </c>
      <c r="V8" s="2443"/>
      <c r="W8" s="2443"/>
      <c r="X8" s="2443"/>
      <c r="Y8" s="2443" t="s">
        <v>2590</v>
      </c>
      <c r="Z8" s="2443"/>
    </row>
    <row r="9" spans="1:28" ht="31.5">
      <c r="C9" s="2443"/>
      <c r="D9" s="2443"/>
      <c r="E9" s="2210" t="s">
        <v>1035</v>
      </c>
      <c r="F9" s="2210" t="s">
        <v>1036</v>
      </c>
      <c r="G9" s="2210" t="s">
        <v>1038</v>
      </c>
      <c r="H9" s="2210" t="s">
        <v>1037</v>
      </c>
      <c r="I9" s="2210" t="s">
        <v>1035</v>
      </c>
      <c r="J9" s="2210" t="s">
        <v>1036</v>
      </c>
      <c r="K9" s="2210" t="s">
        <v>2508</v>
      </c>
      <c r="L9" s="2210" t="s">
        <v>2769</v>
      </c>
      <c r="M9" s="2210" t="s">
        <v>1040</v>
      </c>
      <c r="N9" s="2210" t="s">
        <v>2770</v>
      </c>
      <c r="O9" s="2210" t="s">
        <v>1035</v>
      </c>
      <c r="P9" s="2210" t="s">
        <v>1036</v>
      </c>
      <c r="Q9" s="2210" t="s">
        <v>2508</v>
      </c>
      <c r="R9" s="2210" t="s">
        <v>2769</v>
      </c>
      <c r="S9" s="2210" t="s">
        <v>1040</v>
      </c>
      <c r="T9" s="2210" t="s">
        <v>2770</v>
      </c>
      <c r="U9" s="2210" t="s">
        <v>1035</v>
      </c>
      <c r="V9" s="2210" t="s">
        <v>1036</v>
      </c>
      <c r="W9" s="2210" t="s">
        <v>2508</v>
      </c>
      <c r="X9" s="2210" t="s">
        <v>2769</v>
      </c>
      <c r="Y9" s="2210" t="s">
        <v>1040</v>
      </c>
      <c r="Z9" s="2210" t="s">
        <v>2770</v>
      </c>
    </row>
    <row r="10" spans="1:28" ht="47.25" hidden="1" customHeight="1">
      <c r="C10" s="2207"/>
      <c r="D10" s="2207" t="s">
        <v>1042</v>
      </c>
      <c r="E10" s="294">
        <v>1</v>
      </c>
      <c r="F10" s="2207">
        <v>2</v>
      </c>
      <c r="G10" s="294">
        <v>3</v>
      </c>
      <c r="H10" s="2207">
        <v>4</v>
      </c>
      <c r="I10" s="294">
        <v>5</v>
      </c>
      <c r="J10" s="2207">
        <v>6</v>
      </c>
      <c r="K10" s="2207" t="s">
        <v>1043</v>
      </c>
      <c r="L10" s="2207"/>
      <c r="M10" s="2207">
        <v>10</v>
      </c>
      <c r="N10" s="2207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</row>
    <row r="11" spans="1:28" ht="24.95" customHeight="1">
      <c r="A11" s="1" t="s">
        <v>181</v>
      </c>
      <c r="C11" s="2087">
        <v>1</v>
      </c>
      <c r="D11" s="1865" t="s">
        <v>2744</v>
      </c>
      <c r="E11" s="91">
        <f>'F1'!D42+'SLDC ARR'!C11</f>
        <v>230.20972146798994</v>
      </c>
      <c r="F11" s="91">
        <f>'F1'!E42</f>
        <v>118.88270000000001</v>
      </c>
      <c r="G11" s="91">
        <f>'F1'!F42</f>
        <v>192.74519330000001</v>
      </c>
      <c r="H11" s="1536">
        <f>'F1'!G42</f>
        <v>192.74519330000001</v>
      </c>
      <c r="I11" s="91">
        <v>310</v>
      </c>
      <c r="J11" s="91">
        <f>'F1'!$I$42</f>
        <v>211.12</v>
      </c>
      <c r="K11" s="91">
        <f>'F1'!$L$42</f>
        <v>232.49431431215805</v>
      </c>
      <c r="L11" s="1536">
        <f>F1R!M43</f>
        <v>328.55285526099999</v>
      </c>
      <c r="M11" s="1536">
        <f>'F1'!$M$42</f>
        <v>273.21733934422042</v>
      </c>
      <c r="N11" s="1536">
        <f>F1R!O43</f>
        <v>379.93109757423997</v>
      </c>
      <c r="O11" s="1536">
        <f>'ARR (SLDC)'!D9</f>
        <v>8.89</v>
      </c>
      <c r="P11" s="1536">
        <f>'ARR (SLDC)'!E9</f>
        <v>4.54</v>
      </c>
      <c r="Q11" s="1536">
        <f>'ARR (SLDC)'!H9</f>
        <v>9.0129999999999981</v>
      </c>
      <c r="R11" s="1536">
        <f>F1SLDC!L41</f>
        <v>7.4899999999999993</v>
      </c>
      <c r="S11" s="1536">
        <f>'ARR (SLDC)'!I9</f>
        <v>10.544</v>
      </c>
      <c r="T11" s="1536">
        <f>F1SLDC!T41</f>
        <v>9.06</v>
      </c>
      <c r="U11" s="91">
        <f t="shared" ref="U11:U20" si="0">I11+O11</f>
        <v>318.89</v>
      </c>
      <c r="V11" s="91">
        <f t="shared" ref="V11:V20" si="1">J11+P11</f>
        <v>215.66</v>
      </c>
      <c r="W11" s="91">
        <f>Q11+K11</f>
        <v>241.50731431215806</v>
      </c>
      <c r="X11" s="91">
        <f>R11+L11</f>
        <v>336.042855261</v>
      </c>
      <c r="Y11" s="91">
        <f>M11+S11</f>
        <v>283.7613393442204</v>
      </c>
      <c r="Z11" s="91">
        <f>N11+T11</f>
        <v>388.99109757423997</v>
      </c>
      <c r="AB11" s="1530"/>
    </row>
    <row r="12" spans="1:28" ht="24.95" customHeight="1">
      <c r="C12" s="2087">
        <v>2</v>
      </c>
      <c r="D12" s="1865" t="s">
        <v>2745</v>
      </c>
      <c r="E12" s="91">
        <f>'F4'!D27+'SLDC ARR'!C13</f>
        <v>52.377448073064301</v>
      </c>
      <c r="F12" s="91">
        <f>'F4'!E27</f>
        <v>48.26</v>
      </c>
      <c r="G12" s="91">
        <f>'F4'!F27</f>
        <v>12.473251800000002</v>
      </c>
      <c r="H12" s="91">
        <f>'F4'!G27</f>
        <v>12.473251800000002</v>
      </c>
      <c r="I12" s="1536">
        <f>'F4'!$H$27</f>
        <v>120.12</v>
      </c>
      <c r="J12" s="91">
        <f>'F4'!$I$27</f>
        <v>68.89</v>
      </c>
      <c r="K12" s="91">
        <f>'F4'!$L$27</f>
        <v>69.384477554806054</v>
      </c>
      <c r="L12" s="1536">
        <f t="shared" ref="L12:N22" si="2">K12</f>
        <v>69.384477554806054</v>
      </c>
      <c r="M12" s="1536">
        <f>'F4'!$M$27</f>
        <v>70.033482790164854</v>
      </c>
      <c r="N12" s="1536">
        <f t="shared" si="2"/>
        <v>70.033482790164854</v>
      </c>
      <c r="O12" s="1536">
        <f>'ARR (SLDC)'!D10</f>
        <v>3.19</v>
      </c>
      <c r="P12" s="1536">
        <f>'ARR (SLDC)'!E10</f>
        <v>0.18</v>
      </c>
      <c r="Q12" s="1536">
        <f>'ARR (SLDC)'!H10</f>
        <v>4.0783035724192382</v>
      </c>
      <c r="R12" s="1536">
        <f t="shared" ref="R12" si="3">Q12</f>
        <v>4.0783035724192382</v>
      </c>
      <c r="S12" s="1536">
        <f>'ARR (SLDC)'!I10</f>
        <v>8.163310199420188</v>
      </c>
      <c r="T12" s="1536">
        <f t="shared" ref="T12" si="4">S12</f>
        <v>8.163310199420188</v>
      </c>
      <c r="U12" s="91">
        <f t="shared" si="0"/>
        <v>123.31</v>
      </c>
      <c r="V12" s="91">
        <f t="shared" si="1"/>
        <v>69.070000000000007</v>
      </c>
      <c r="W12" s="91">
        <f t="shared" ref="W12:X27" si="5">Q12+K12</f>
        <v>73.462781127225298</v>
      </c>
      <c r="X12" s="91">
        <f t="shared" si="5"/>
        <v>73.462781127225298</v>
      </c>
      <c r="Y12" s="91">
        <f t="shared" ref="Y12:Z27" si="6">M12+S12</f>
        <v>78.196792989585049</v>
      </c>
      <c r="Z12" s="91">
        <f t="shared" si="6"/>
        <v>78.196792989585049</v>
      </c>
    </row>
    <row r="13" spans="1:28" ht="24.95" customHeight="1">
      <c r="A13" s="1" t="s">
        <v>181</v>
      </c>
      <c r="C13" s="2087">
        <v>3</v>
      </c>
      <c r="D13" s="1865" t="s">
        <v>2746</v>
      </c>
      <c r="E13" s="599">
        <f>'F5'!D38</f>
        <v>21.391516298727261</v>
      </c>
      <c r="F13" s="599">
        <f>'F5'!E38</f>
        <v>0.65</v>
      </c>
      <c r="G13" s="599">
        <f>'F5'!F38</f>
        <v>14.208967600000001</v>
      </c>
      <c r="H13" s="599">
        <f>'F5'!G38</f>
        <v>14.208967600000001</v>
      </c>
      <c r="I13" s="1395">
        <v>74.89</v>
      </c>
      <c r="J13" s="1784">
        <f>'F5'!$I$38</f>
        <v>13.79</v>
      </c>
      <c r="K13" s="1784">
        <f>'F5'!$L$38</f>
        <v>32.062905963957213</v>
      </c>
      <c r="L13" s="1536">
        <f t="shared" si="2"/>
        <v>32.062905963957213</v>
      </c>
      <c r="M13" s="1395">
        <f>'F5'!$M$38</f>
        <v>40.506505131676697</v>
      </c>
      <c r="N13" s="1536">
        <f t="shared" si="2"/>
        <v>40.506505131676697</v>
      </c>
      <c r="O13" s="1536">
        <f>'ARR (SLDC)'!D11</f>
        <v>1.4040000000000004</v>
      </c>
      <c r="P13" s="1536">
        <f>'ARR (SLDC)'!E11</f>
        <v>3.2000000000000001E-2</v>
      </c>
      <c r="Q13" s="1536">
        <f>'ARR (SLDC)'!H11</f>
        <v>1.7546026282686078</v>
      </c>
      <c r="R13" s="1536">
        <f t="shared" ref="R13" si="7">Q13</f>
        <v>1.7546026282686078</v>
      </c>
      <c r="S13" s="1536">
        <f>'ARR (SLDC)'!I11</f>
        <v>2.1120042168145479</v>
      </c>
      <c r="T13" s="1536">
        <f t="shared" ref="T13" si="8">S13</f>
        <v>2.1120042168145479</v>
      </c>
      <c r="U13" s="91">
        <f t="shared" si="0"/>
        <v>76.293999999999997</v>
      </c>
      <c r="V13" s="91">
        <f t="shared" si="1"/>
        <v>13.821999999999999</v>
      </c>
      <c r="W13" s="91">
        <f t="shared" si="5"/>
        <v>33.817508592225821</v>
      </c>
      <c r="X13" s="91">
        <f t="shared" si="5"/>
        <v>33.817508592225821</v>
      </c>
      <c r="Y13" s="91">
        <f t="shared" si="6"/>
        <v>42.618509348491244</v>
      </c>
      <c r="Z13" s="91">
        <f t="shared" si="6"/>
        <v>42.618509348491244</v>
      </c>
    </row>
    <row r="14" spans="1:28" ht="24.95" customHeight="1">
      <c r="A14" s="1" t="s">
        <v>181</v>
      </c>
      <c r="C14" s="2087">
        <v>4</v>
      </c>
      <c r="D14" s="1865" t="s">
        <v>384</v>
      </c>
      <c r="E14" s="91">
        <f>'F9'!D51</f>
        <v>0</v>
      </c>
      <c r="F14" s="91">
        <f>'F9'!E51</f>
        <v>101.63</v>
      </c>
      <c r="G14" s="91">
        <f>'F9'!F51</f>
        <v>72.682103600000005</v>
      </c>
      <c r="H14" s="91">
        <f>'F9'!G51</f>
        <v>123.00296856867668</v>
      </c>
      <c r="I14" s="1536">
        <v>193.41</v>
      </c>
      <c r="J14" s="91">
        <f>'F9'!$I$51</f>
        <v>147.9</v>
      </c>
      <c r="K14" s="91">
        <f>'F9'!$L$51</f>
        <v>188.60317297624681</v>
      </c>
      <c r="L14" s="1536">
        <f>F9R!M51</f>
        <v>160.71</v>
      </c>
      <c r="M14" s="1536">
        <f>'F9'!$M$51</f>
        <v>267.4944646919306</v>
      </c>
      <c r="N14" s="1536">
        <f>F9R!O51</f>
        <v>239.59</v>
      </c>
      <c r="O14" s="1536">
        <f>'ARR (SLDC)'!D12</f>
        <v>1.07</v>
      </c>
      <c r="P14" s="1536">
        <f>'ARR (SLDC)'!E12</f>
        <v>0.4</v>
      </c>
      <c r="Q14" s="1536">
        <f>'ARR (SLDC)'!H12</f>
        <v>0.63391023646762845</v>
      </c>
      <c r="R14" s="1536">
        <f t="shared" ref="R14" si="9">Q14</f>
        <v>0.63391023646762845</v>
      </c>
      <c r="S14" s="1536">
        <f>'ARR (SLDC)'!I12</f>
        <v>1.3510025015186145</v>
      </c>
      <c r="T14" s="1536">
        <f t="shared" ref="T14" si="10">S14</f>
        <v>1.3510025015186145</v>
      </c>
      <c r="U14" s="91">
        <f t="shared" si="0"/>
        <v>194.48</v>
      </c>
      <c r="V14" s="91">
        <f t="shared" si="1"/>
        <v>148.30000000000001</v>
      </c>
      <c r="W14" s="91">
        <f t="shared" si="5"/>
        <v>189.23708321271445</v>
      </c>
      <c r="X14" s="91">
        <f t="shared" si="5"/>
        <v>161.34391023646765</v>
      </c>
      <c r="Y14" s="91">
        <f t="shared" si="6"/>
        <v>268.84546719344922</v>
      </c>
      <c r="Z14" s="91">
        <f t="shared" si="6"/>
        <v>240.94100250151862</v>
      </c>
    </row>
    <row r="15" spans="1:28" ht="24.95" customHeight="1">
      <c r="C15" s="2087">
        <v>5</v>
      </c>
      <c r="D15" s="1865" t="s">
        <v>385</v>
      </c>
      <c r="E15" s="2013">
        <f>'F21'!D18</f>
        <v>91.819954349427661</v>
      </c>
      <c r="F15" s="91">
        <f>'F21'!E18</f>
        <v>72.22</v>
      </c>
      <c r="G15" s="91">
        <f>'F21'!F18+('Schedules of Accounts'!E231+'Schedules of Accounts'!E23+'Schedules of Accounts'!E1542)/10^7</f>
        <v>74.27820939999998</v>
      </c>
      <c r="H15" s="91">
        <f ca="1">'F21'!E31</f>
        <v>0</v>
      </c>
      <c r="I15" s="1536">
        <v>251.58</v>
      </c>
      <c r="J15" s="91">
        <f>'F21'!$F$34</f>
        <v>244.84999999999997</v>
      </c>
      <c r="K15" s="91">
        <f>'F21'!$G$34</f>
        <v>205.363488430855</v>
      </c>
      <c r="L15" s="1536">
        <f>'F21 R'!H34</f>
        <v>294.493488430855</v>
      </c>
      <c r="M15" s="1536">
        <f>'F21'!$H$34</f>
        <v>358.84157286474721</v>
      </c>
      <c r="N15" s="1536">
        <f>'F21 R'!J34</f>
        <v>445.67157286474719</v>
      </c>
      <c r="O15" s="1536">
        <f>'ARR (SLDC)'!D13</f>
        <v>1.34</v>
      </c>
      <c r="P15" s="1536">
        <f>'ARR (SLDC)'!E13</f>
        <v>1.65</v>
      </c>
      <c r="Q15" s="1536">
        <f>'ARR (SLDC)'!H13</f>
        <v>0.71143749999999994</v>
      </c>
      <c r="R15" s="1536">
        <f t="shared" ref="R15" si="11">Q15</f>
        <v>0.71143749999999994</v>
      </c>
      <c r="S15" s="1536">
        <f>'ARR (SLDC)'!I13</f>
        <v>2.5728749999999998</v>
      </c>
      <c r="T15" s="1536">
        <f t="shared" ref="T15" si="12">S15</f>
        <v>2.5728749999999998</v>
      </c>
      <c r="U15" s="91">
        <f t="shared" si="0"/>
        <v>252.92000000000002</v>
      </c>
      <c r="V15" s="91">
        <f t="shared" si="1"/>
        <v>246.49999999999997</v>
      </c>
      <c r="W15" s="91">
        <f t="shared" si="5"/>
        <v>206.07492593085499</v>
      </c>
      <c r="X15" s="91">
        <f t="shared" si="5"/>
        <v>295.20492593085498</v>
      </c>
      <c r="Y15" s="91">
        <f t="shared" si="6"/>
        <v>361.41444786474722</v>
      </c>
      <c r="Z15" s="91">
        <f t="shared" si="6"/>
        <v>448.2444478647472</v>
      </c>
    </row>
    <row r="16" spans="1:28" ht="47.25" customHeight="1">
      <c r="C16" s="2087">
        <v>6</v>
      </c>
      <c r="D16" s="1865" t="s">
        <v>1939</v>
      </c>
      <c r="E16" s="2013"/>
      <c r="F16" s="91"/>
      <c r="G16" s="91"/>
      <c r="H16" s="599">
        <f>G17</f>
        <v>79.5</v>
      </c>
      <c r="I16" s="1536"/>
      <c r="J16" s="91"/>
      <c r="K16" s="91"/>
      <c r="L16" s="1536">
        <f t="shared" si="2"/>
        <v>0</v>
      </c>
      <c r="M16" s="1536"/>
      <c r="N16" s="1536">
        <f t="shared" si="2"/>
        <v>0</v>
      </c>
      <c r="O16" s="1536"/>
      <c r="P16" s="1536"/>
      <c r="Q16" s="1536"/>
      <c r="R16" s="1536">
        <f t="shared" ref="R16" si="13">Q16</f>
        <v>0</v>
      </c>
      <c r="S16" s="1536"/>
      <c r="T16" s="1536">
        <f t="shared" ref="T16" si="14">S16</f>
        <v>0</v>
      </c>
      <c r="U16" s="91">
        <f t="shared" si="0"/>
        <v>0</v>
      </c>
      <c r="V16" s="91">
        <f t="shared" si="1"/>
        <v>0</v>
      </c>
      <c r="W16" s="91">
        <f t="shared" si="5"/>
        <v>0</v>
      </c>
      <c r="X16" s="91">
        <f t="shared" si="5"/>
        <v>0</v>
      </c>
      <c r="Y16" s="91">
        <f t="shared" si="6"/>
        <v>0</v>
      </c>
      <c r="Z16" s="91">
        <f t="shared" si="6"/>
        <v>0</v>
      </c>
    </row>
    <row r="17" spans="3:28" ht="24.95" customHeight="1">
      <c r="C17" s="2087">
        <v>7</v>
      </c>
      <c r="D17" s="1865" t="s">
        <v>340</v>
      </c>
      <c r="E17" s="2013">
        <f>'F20 R'!D19+'SLDC ARR'!C17</f>
        <v>21.252657265441371</v>
      </c>
      <c r="F17" s="2013">
        <f>'F20 R'!E19</f>
        <v>12.751099999999999</v>
      </c>
      <c r="G17" s="2013">
        <f>'F20 R'!F19</f>
        <v>79.5</v>
      </c>
      <c r="H17" s="91" t="e">
        <f>'F20 R'!G19</f>
        <v>#REF!</v>
      </c>
      <c r="I17" s="2015">
        <v>42.14</v>
      </c>
      <c r="J17" s="2013">
        <f>'F20 R'!$I$19</f>
        <v>25.1524</v>
      </c>
      <c r="K17" s="91">
        <f>'F20 R'!$L$19</f>
        <v>31.191047600347538</v>
      </c>
      <c r="L17" s="1536">
        <f ca="1">'F20 R'!M19</f>
        <v>42.750539961564805</v>
      </c>
      <c r="M17" s="1536">
        <f ca="1">'F20 R'!$N$19</f>
        <v>42.889790403757708</v>
      </c>
      <c r="N17" s="1536">
        <f ca="1">'F20 R'!P19</f>
        <v>58.020304451899307</v>
      </c>
      <c r="O17" s="1536">
        <f>'ARR (SLDC)'!D14</f>
        <v>1.0900000000000001</v>
      </c>
      <c r="P17" s="1536">
        <f>'ARR (SLDC)'!E14</f>
        <v>0.77</v>
      </c>
      <c r="Q17" s="1536">
        <f>'ARR (SLDC)'!H14</f>
        <v>1.2132924384070063</v>
      </c>
      <c r="R17" s="1536">
        <f ca="1">'F15 SLDC'!K16</f>
        <v>1.1284681907172098</v>
      </c>
      <c r="S17" s="1536">
        <f>'ARR (SLDC)'!I14</f>
        <v>2.1574313145749486</v>
      </c>
      <c r="T17" s="1536">
        <f ca="1">'F15 SLDC'!M16</f>
        <v>2.0211698360917287</v>
      </c>
      <c r="U17" s="91">
        <f t="shared" si="0"/>
        <v>43.230000000000004</v>
      </c>
      <c r="V17" s="91">
        <f t="shared" si="1"/>
        <v>25.9224</v>
      </c>
      <c r="W17" s="91">
        <f t="shared" si="5"/>
        <v>32.404340038754547</v>
      </c>
      <c r="X17" s="91">
        <f t="shared" ca="1" si="5"/>
        <v>43.879008152282012</v>
      </c>
      <c r="Y17" s="91">
        <f t="shared" ca="1" si="6"/>
        <v>45.047221718332658</v>
      </c>
      <c r="Z17" s="91">
        <f t="shared" ca="1" si="6"/>
        <v>60.041474287991036</v>
      </c>
      <c r="AB17" s="1530"/>
    </row>
    <row r="18" spans="3:28" ht="24.95" customHeight="1">
      <c r="C18" s="2087">
        <v>8</v>
      </c>
      <c r="D18" s="1865" t="s">
        <v>196</v>
      </c>
      <c r="E18" s="2013"/>
      <c r="F18" s="2013"/>
      <c r="G18" s="2013"/>
      <c r="H18" s="91"/>
      <c r="I18" s="2015">
        <v>0</v>
      </c>
      <c r="J18" s="2013">
        <v>0</v>
      </c>
      <c r="K18" s="91">
        <v>0</v>
      </c>
      <c r="L18" s="1536">
        <f t="shared" si="2"/>
        <v>0</v>
      </c>
      <c r="M18" s="1536">
        <v>0</v>
      </c>
      <c r="N18" s="1536">
        <f t="shared" si="2"/>
        <v>0</v>
      </c>
      <c r="O18" s="1536">
        <f>'ARR (SLDC)'!D15</f>
        <v>21</v>
      </c>
      <c r="P18" s="1536">
        <f>'ARR (SLDC)'!E15</f>
        <v>21</v>
      </c>
      <c r="Q18" s="1536">
        <f>'ARR (SLDC)'!H15</f>
        <v>17.3</v>
      </c>
      <c r="R18" s="1536">
        <f t="shared" ref="R18" si="15">Q18</f>
        <v>17.3</v>
      </c>
      <c r="S18" s="1536">
        <f>'ARR (SLDC)'!I15</f>
        <v>31.4</v>
      </c>
      <c r="T18" s="1536">
        <f t="shared" ref="T18" si="16">S18</f>
        <v>31.4</v>
      </c>
      <c r="U18" s="91">
        <f t="shared" si="0"/>
        <v>21</v>
      </c>
      <c r="V18" s="91">
        <f t="shared" si="1"/>
        <v>21</v>
      </c>
      <c r="W18" s="91">
        <f t="shared" si="5"/>
        <v>17.3</v>
      </c>
      <c r="X18" s="91">
        <f t="shared" si="5"/>
        <v>17.3</v>
      </c>
      <c r="Y18" s="91">
        <f t="shared" si="6"/>
        <v>31.4</v>
      </c>
      <c r="Z18" s="91">
        <f t="shared" si="6"/>
        <v>31.4</v>
      </c>
    </row>
    <row r="19" spans="3:28" ht="24.95" customHeight="1">
      <c r="C19" s="2087">
        <v>9</v>
      </c>
      <c r="D19" s="1865" t="s">
        <v>2530</v>
      </c>
      <c r="E19" s="91">
        <f>'F16'!D13</f>
        <v>77.136039993940315</v>
      </c>
      <c r="F19" s="91">
        <f>'F16'!E13</f>
        <v>45.99</v>
      </c>
      <c r="G19" s="91"/>
      <c r="H19" s="91">
        <f>'F16'!G13</f>
        <v>50.917499999999997</v>
      </c>
      <c r="I19" s="1536">
        <v>110.01</v>
      </c>
      <c r="J19" s="91">
        <f>'F16'!$I$13</f>
        <v>50.917499999999997</v>
      </c>
      <c r="K19" s="91">
        <f>'F16'!$L$13</f>
        <v>75.377498149518871</v>
      </c>
      <c r="L19" s="1536">
        <f>'F16 R'!L13</f>
        <v>139.01354552183568</v>
      </c>
      <c r="M19" s="1536">
        <f>'F16'!$M$13</f>
        <v>75.377498149518871</v>
      </c>
      <c r="N19" s="1536">
        <f>'F16 R'!N13</f>
        <v>93.903649999999999</v>
      </c>
      <c r="O19" s="1536">
        <f>'ARR (SLDC)'!D16</f>
        <v>1.08</v>
      </c>
      <c r="P19" s="1536">
        <f>'ARR (SLDC)'!E16</f>
        <v>0</v>
      </c>
      <c r="Q19" s="1536">
        <f>'ARR (SLDC)'!H16</f>
        <v>0</v>
      </c>
      <c r="R19" s="1536">
        <f t="shared" ref="R19" si="17">Q19</f>
        <v>0</v>
      </c>
      <c r="S19" s="1536">
        <f>'ARR (SLDC)'!I16</f>
        <v>0</v>
      </c>
      <c r="T19" s="1536">
        <f t="shared" ref="T19" si="18">S19</f>
        <v>0</v>
      </c>
      <c r="U19" s="91">
        <f t="shared" si="0"/>
        <v>111.09</v>
      </c>
      <c r="V19" s="91">
        <f t="shared" si="1"/>
        <v>50.917499999999997</v>
      </c>
      <c r="W19" s="91">
        <f t="shared" si="5"/>
        <v>75.377498149518871</v>
      </c>
      <c r="X19" s="91">
        <f t="shared" si="5"/>
        <v>139.01354552183568</v>
      </c>
      <c r="Y19" s="91">
        <f t="shared" si="6"/>
        <v>75.377498149518871</v>
      </c>
      <c r="Z19" s="91">
        <f t="shared" si="6"/>
        <v>93.903649999999999</v>
      </c>
    </row>
    <row r="20" spans="3:28" ht="36" customHeight="1">
      <c r="C20" s="2087">
        <v>10</v>
      </c>
      <c r="D20" s="1865" t="s">
        <v>2545</v>
      </c>
      <c r="E20" s="91">
        <f>'F11'!D11</f>
        <v>0</v>
      </c>
      <c r="F20" s="91">
        <f>'F11'!E11</f>
        <v>0</v>
      </c>
      <c r="G20" s="91">
        <f>'F11'!F11</f>
        <v>0</v>
      </c>
      <c r="H20" s="91">
        <f>'F11'!G13</f>
        <v>0.04</v>
      </c>
      <c r="I20" s="1536">
        <f>'F11'!$H$11</f>
        <v>0</v>
      </c>
      <c r="J20" s="91">
        <f>'F11'!$I$11</f>
        <v>0</v>
      </c>
      <c r="K20" s="91">
        <f>'F11'!L13</f>
        <v>0</v>
      </c>
      <c r="L20" s="91">
        <f t="shared" si="2"/>
        <v>0</v>
      </c>
      <c r="M20" s="91">
        <f>'F11'!$M$13</f>
        <v>0</v>
      </c>
      <c r="N20" s="91">
        <f t="shared" si="2"/>
        <v>0</v>
      </c>
      <c r="O20" s="91"/>
      <c r="P20" s="91"/>
      <c r="Q20" s="91"/>
      <c r="R20" s="91">
        <f t="shared" ref="R20" si="19">Q20</f>
        <v>0</v>
      </c>
      <c r="S20" s="91"/>
      <c r="T20" s="91">
        <f t="shared" ref="T20" si="20">S20</f>
        <v>0</v>
      </c>
      <c r="U20" s="91">
        <f t="shared" si="0"/>
        <v>0</v>
      </c>
      <c r="V20" s="91">
        <f t="shared" si="1"/>
        <v>0</v>
      </c>
      <c r="W20" s="91">
        <f t="shared" si="5"/>
        <v>0</v>
      </c>
      <c r="X20" s="91">
        <f t="shared" si="5"/>
        <v>0</v>
      </c>
      <c r="Y20" s="91">
        <f t="shared" si="6"/>
        <v>0</v>
      </c>
      <c r="Z20" s="91">
        <f t="shared" si="6"/>
        <v>0</v>
      </c>
    </row>
    <row r="21" spans="3:28" ht="24.95" customHeight="1">
      <c r="C21" s="2087">
        <v>11</v>
      </c>
      <c r="D21" s="1866" t="s">
        <v>386</v>
      </c>
      <c r="E21" s="530">
        <f t="shared" ref="E21:Y21" si="21">SUM(E11:E20)</f>
        <v>494.18733744859077</v>
      </c>
      <c r="F21" s="530">
        <f t="shared" si="21"/>
        <v>400.38380000000001</v>
      </c>
      <c r="G21" s="530">
        <f t="shared" si="21"/>
        <v>445.88772569999998</v>
      </c>
      <c r="H21" s="530" t="e">
        <f t="shared" ca="1" si="21"/>
        <v>#REF!</v>
      </c>
      <c r="I21" s="530">
        <f t="shared" si="21"/>
        <v>1102.1500000000001</v>
      </c>
      <c r="J21" s="530">
        <f t="shared" si="21"/>
        <v>762.61989999999992</v>
      </c>
      <c r="K21" s="530">
        <f t="shared" si="21"/>
        <v>834.4769049878895</v>
      </c>
      <c r="L21" s="530">
        <f t="shared" ca="1" si="21"/>
        <v>1066.9678126940187</v>
      </c>
      <c r="M21" s="530">
        <f t="shared" ca="1" si="21"/>
        <v>1128.3606533760162</v>
      </c>
      <c r="N21" s="530">
        <f t="shared" ref="N21" ca="1" si="22">SUM(N11:N20)</f>
        <v>1327.6566128127281</v>
      </c>
      <c r="O21" s="91">
        <f>'ARR (SLDC)'!D17</f>
        <v>39.064</v>
      </c>
      <c r="P21" s="91">
        <f>'ARR (SLDC)'!E17</f>
        <v>28.571999999999999</v>
      </c>
      <c r="Q21" s="91">
        <f>'ARR (SLDC)'!H17</f>
        <v>34.704546375562472</v>
      </c>
      <c r="R21" s="530">
        <f t="shared" ref="R21" ca="1" si="23">SUM(R11:R20)</f>
        <v>33.096722127872681</v>
      </c>
      <c r="S21" s="91">
        <f>'ARR (SLDC)'!I17</f>
        <v>58.300623232328299</v>
      </c>
      <c r="T21" s="530">
        <f t="shared" ref="T21" ca="1" si="24">SUM(T11:T20)</f>
        <v>56.680361753845077</v>
      </c>
      <c r="U21" s="530">
        <f t="shared" si="21"/>
        <v>1141.2139999999999</v>
      </c>
      <c r="V21" s="530">
        <f t="shared" si="21"/>
        <v>791.19190000000003</v>
      </c>
      <c r="W21" s="530">
        <f t="shared" si="21"/>
        <v>869.18145136345197</v>
      </c>
      <c r="X21" s="530">
        <f t="shared" ref="X21" ca="1" si="25">SUM(X11:X20)</f>
        <v>1100.0645348218914</v>
      </c>
      <c r="Y21" s="530">
        <f t="shared" ca="1" si="21"/>
        <v>1186.6612766083447</v>
      </c>
      <c r="Z21" s="530">
        <f t="shared" ref="Z21" ca="1" si="26">SUM(Z11:Z20)</f>
        <v>1384.336974566573</v>
      </c>
    </row>
    <row r="22" spans="3:28" ht="24.95" customHeight="1">
      <c r="C22" s="2087">
        <v>12</v>
      </c>
      <c r="D22" s="1865" t="s">
        <v>391</v>
      </c>
      <c r="E22" s="1536" t="e">
        <f>#REF!+'SLDC ARR'!C21</f>
        <v>#REF!</v>
      </c>
      <c r="F22" s="1536" t="e">
        <f>#REF!</f>
        <v>#REF!</v>
      </c>
      <c r="G22" s="1536" t="e">
        <f>#REF!</f>
        <v>#REF!</v>
      </c>
      <c r="H22" s="1536" t="e">
        <f>#REF!</f>
        <v>#REF!</v>
      </c>
      <c r="I22" s="1536">
        <f>'F12 '!H29</f>
        <v>0</v>
      </c>
      <c r="J22" s="1536">
        <v>36.979999999999997</v>
      </c>
      <c r="K22" s="91">
        <f>'F12 '!$L$29</f>
        <v>5.7631316000000004</v>
      </c>
      <c r="L22" s="91">
        <f t="shared" si="2"/>
        <v>5.7631316000000004</v>
      </c>
      <c r="M22" s="91">
        <f>'F12 '!$M$29</f>
        <v>2.6587437999999999</v>
      </c>
      <c r="N22" s="91">
        <f t="shared" si="2"/>
        <v>2.6587437999999999</v>
      </c>
      <c r="O22" s="91">
        <f>'ARR (SLDC)'!D18</f>
        <v>0</v>
      </c>
      <c r="P22" s="91">
        <f>'ARR (SLDC)'!E18</f>
        <v>0</v>
      </c>
      <c r="Q22" s="91">
        <f>'ARR (SLDC)'!H18</f>
        <v>5.8449999999999998</v>
      </c>
      <c r="R22" s="91">
        <f t="shared" ref="R22" si="27">Q22</f>
        <v>5.8449999999999998</v>
      </c>
      <c r="S22" s="91">
        <f>'ARR (SLDC)'!I18</f>
        <v>0.02</v>
      </c>
      <c r="T22" s="91">
        <f t="shared" ref="T22" si="28">S22</f>
        <v>0.02</v>
      </c>
      <c r="U22" s="91">
        <f>I22+O22</f>
        <v>0</v>
      </c>
      <c r="V22" s="91">
        <f>J22+P22</f>
        <v>36.979999999999997</v>
      </c>
      <c r="W22" s="91">
        <f t="shared" si="5"/>
        <v>11.6081316</v>
      </c>
      <c r="X22" s="91">
        <f t="shared" si="5"/>
        <v>11.6081316</v>
      </c>
      <c r="Y22" s="91">
        <f t="shared" si="6"/>
        <v>2.6787437999999999</v>
      </c>
      <c r="Z22" s="91">
        <f t="shared" si="6"/>
        <v>2.6787437999999999</v>
      </c>
    </row>
    <row r="23" spans="3:28" ht="24.95" hidden="1" customHeight="1">
      <c r="C23" s="2087"/>
      <c r="D23" s="1865"/>
      <c r="E23" s="1536"/>
      <c r="F23" s="1536"/>
      <c r="G23" s="1536"/>
      <c r="H23" s="1536"/>
      <c r="I23" s="1536"/>
      <c r="J23" s="1536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3:28" s="147" customFormat="1" ht="42" customHeight="1">
      <c r="C24" s="2087">
        <v>13</v>
      </c>
      <c r="D24" s="1866" t="s">
        <v>2543</v>
      </c>
      <c r="E24" s="530" t="e">
        <f t="shared" ref="E24:Y24" si="29">E21-E22</f>
        <v>#REF!</v>
      </c>
      <c r="F24" s="530" t="e">
        <f t="shared" si="29"/>
        <v>#REF!</v>
      </c>
      <c r="G24" s="530" t="e">
        <f t="shared" si="29"/>
        <v>#REF!</v>
      </c>
      <c r="H24" s="530" t="e">
        <f t="shared" ca="1" si="29"/>
        <v>#REF!</v>
      </c>
      <c r="I24" s="530">
        <f t="shared" si="29"/>
        <v>1102.1500000000001</v>
      </c>
      <c r="J24" s="530">
        <f t="shared" si="29"/>
        <v>725.6398999999999</v>
      </c>
      <c r="K24" s="530">
        <f t="shared" si="29"/>
        <v>828.71377338788955</v>
      </c>
      <c r="L24" s="530">
        <f t="shared" ca="1" si="29"/>
        <v>1061.2046810940187</v>
      </c>
      <c r="M24" s="530">
        <f t="shared" ca="1" si="29"/>
        <v>1125.7019095760163</v>
      </c>
      <c r="N24" s="530">
        <f t="shared" ref="N24" ca="1" si="30">N21-N22</f>
        <v>1324.9978690127282</v>
      </c>
      <c r="O24" s="530">
        <f t="shared" si="29"/>
        <v>39.064</v>
      </c>
      <c r="P24" s="530">
        <f t="shared" ref="P24:R24" si="31">P21-P22</f>
        <v>28.571999999999999</v>
      </c>
      <c r="Q24" s="530">
        <f t="shared" si="31"/>
        <v>28.859546375562473</v>
      </c>
      <c r="R24" s="530">
        <f t="shared" ca="1" si="31"/>
        <v>27.251722127872682</v>
      </c>
      <c r="S24" s="530">
        <f t="shared" ref="S24:T24" si="32">S21-S22</f>
        <v>58.280623232328296</v>
      </c>
      <c r="T24" s="530">
        <f t="shared" ca="1" si="32"/>
        <v>56.660361753845073</v>
      </c>
      <c r="U24" s="530">
        <f t="shared" si="29"/>
        <v>1141.2139999999999</v>
      </c>
      <c r="V24" s="530">
        <f t="shared" si="29"/>
        <v>754.21190000000001</v>
      </c>
      <c r="W24" s="530">
        <f t="shared" si="29"/>
        <v>857.57331976345199</v>
      </c>
      <c r="X24" s="530">
        <f t="shared" ref="X24" ca="1" si="33">X21-X22</f>
        <v>1088.4564032218914</v>
      </c>
      <c r="Y24" s="530">
        <f t="shared" ca="1" si="29"/>
        <v>1183.9825328083448</v>
      </c>
      <c r="Z24" s="530">
        <f t="shared" ref="Z24" ca="1" si="34">Z21-Z22</f>
        <v>1381.6582307665731</v>
      </c>
    </row>
    <row r="25" spans="3:28" ht="94.5" customHeight="1">
      <c r="C25" s="2087">
        <v>14</v>
      </c>
      <c r="D25" s="20" t="s">
        <v>2690</v>
      </c>
      <c r="E25" s="91">
        <v>59.71</v>
      </c>
      <c r="F25" s="91">
        <v>0</v>
      </c>
      <c r="G25" s="91">
        <v>0</v>
      </c>
      <c r="H25" s="91"/>
      <c r="I25" s="91">
        <v>250.66</v>
      </c>
      <c r="J25" s="91">
        <f>71.17+4.63</f>
        <v>75.8</v>
      </c>
      <c r="K25" s="91">
        <f>J25</f>
        <v>75.8</v>
      </c>
      <c r="L25" s="91">
        <f t="shared" ref="L25:L27" si="35">K25</f>
        <v>75.8</v>
      </c>
      <c r="M25" s="91">
        <f>K28*(1+SBI_PLR)</f>
        <v>81.70727240435312</v>
      </c>
      <c r="N25" s="91">
        <f ca="1">L28*(1+SBI_PLR)</f>
        <v>348.49058899713634</v>
      </c>
      <c r="O25" s="91">
        <f>'ARR (SLDC)'!D20</f>
        <v>0</v>
      </c>
      <c r="P25" s="91">
        <f>'ARR (SLDC)'!E20</f>
        <v>0</v>
      </c>
      <c r="Q25" s="91">
        <f>'ARR (SLDC)'!H20</f>
        <v>0</v>
      </c>
      <c r="R25" s="91">
        <f t="shared" ref="R25" si="36">Q25</f>
        <v>0</v>
      </c>
      <c r="S25" s="91">
        <f>Q28*(1+SBI_PLR)</f>
        <v>0.33225446595793801</v>
      </c>
      <c r="T25" s="91">
        <f ca="1">R28*(1+SBI_PLR)</f>
        <v>-1.5127238582660973</v>
      </c>
      <c r="U25" s="91">
        <f t="shared" ref="U25:Z25" si="37">I25+O25</f>
        <v>250.66</v>
      </c>
      <c r="V25" s="91">
        <f t="shared" si="37"/>
        <v>75.8</v>
      </c>
      <c r="W25" s="91">
        <f t="shared" si="37"/>
        <v>75.8</v>
      </c>
      <c r="X25" s="91">
        <f t="shared" si="37"/>
        <v>75.8</v>
      </c>
      <c r="Y25" s="91">
        <f t="shared" si="37"/>
        <v>82.039526870311064</v>
      </c>
      <c r="Z25" s="91">
        <f t="shared" ca="1" si="37"/>
        <v>346.97786513887024</v>
      </c>
    </row>
    <row r="26" spans="3:28" s="147" customFormat="1" ht="41.25" customHeight="1">
      <c r="C26" s="2087">
        <v>15</v>
      </c>
      <c r="D26" s="1864" t="s">
        <v>2529</v>
      </c>
      <c r="E26" s="530" t="e">
        <f>E24+E25</f>
        <v>#REF!</v>
      </c>
      <c r="F26" s="530" t="e">
        <f>F24+F25</f>
        <v>#REF!</v>
      </c>
      <c r="G26" s="530" t="e">
        <f>G24+G25</f>
        <v>#REF!</v>
      </c>
      <c r="H26" s="530" t="e">
        <f ca="1">H24</f>
        <v>#REF!</v>
      </c>
      <c r="I26" s="530">
        <f t="shared" ref="I26:Y26" si="38">I24+I25</f>
        <v>1352.8100000000002</v>
      </c>
      <c r="J26" s="530">
        <f t="shared" si="38"/>
        <v>801.43989999999985</v>
      </c>
      <c r="K26" s="530">
        <f t="shared" si="38"/>
        <v>904.5137733878895</v>
      </c>
      <c r="L26" s="530">
        <f t="shared" ca="1" si="38"/>
        <v>1137.0046810940187</v>
      </c>
      <c r="M26" s="530">
        <f t="shared" ca="1" si="38"/>
        <v>1207.4091819803693</v>
      </c>
      <c r="N26" s="530">
        <f t="shared" ref="N26" ca="1" si="39">N24+N25</f>
        <v>1673.4884580098646</v>
      </c>
      <c r="O26" s="530">
        <f t="shared" si="38"/>
        <v>39.064</v>
      </c>
      <c r="P26" s="530">
        <f t="shared" ref="P26:R26" si="40">P24+P25</f>
        <v>28.571999999999999</v>
      </c>
      <c r="Q26" s="530">
        <f t="shared" si="40"/>
        <v>28.859546375562473</v>
      </c>
      <c r="R26" s="530">
        <f t="shared" ca="1" si="40"/>
        <v>27.251722127872682</v>
      </c>
      <c r="S26" s="530">
        <f t="shared" ref="S26:T26" si="41">S24+S25</f>
        <v>58.612877698286233</v>
      </c>
      <c r="T26" s="530">
        <f t="shared" ca="1" si="41"/>
        <v>55.147637895578974</v>
      </c>
      <c r="U26" s="530">
        <f t="shared" si="38"/>
        <v>1391.874</v>
      </c>
      <c r="V26" s="530">
        <f t="shared" si="38"/>
        <v>830.01189999999997</v>
      </c>
      <c r="W26" s="530">
        <f t="shared" si="38"/>
        <v>933.37331976345195</v>
      </c>
      <c r="X26" s="530">
        <f t="shared" ref="X26" ca="1" si="42">X24+X25</f>
        <v>1164.2564032218913</v>
      </c>
      <c r="Y26" s="530">
        <f t="shared" ca="1" si="38"/>
        <v>1266.0220596786558</v>
      </c>
      <c r="Z26" s="530">
        <f t="shared" ref="Z26" ca="1" si="43">Z24+Z25</f>
        <v>1728.6360959054432</v>
      </c>
    </row>
    <row r="27" spans="3:28" ht="24.95" customHeight="1">
      <c r="C27" s="2087">
        <v>16</v>
      </c>
      <c r="D27" s="1864" t="s">
        <v>2532</v>
      </c>
      <c r="E27" s="530"/>
      <c r="F27" s="530"/>
      <c r="G27" s="530"/>
      <c r="H27" s="530"/>
      <c r="I27" s="530"/>
      <c r="J27" s="530">
        <f>J26</f>
        <v>801.43989999999985</v>
      </c>
      <c r="K27" s="530">
        <f>'F24'!$L$13</f>
        <v>833.30917870000007</v>
      </c>
      <c r="L27" s="91">
        <f t="shared" si="35"/>
        <v>833.30917870000007</v>
      </c>
      <c r="M27" s="530">
        <f ca="1">M26</f>
        <v>1207.4091819803693</v>
      </c>
      <c r="N27" s="91">
        <f ca="1">'F24 R'!O13</f>
        <v>1673.4884580098646</v>
      </c>
      <c r="O27" s="530">
        <f>O26</f>
        <v>39.064</v>
      </c>
      <c r="P27" s="530">
        <f t="shared" ref="P27" si="44">P26</f>
        <v>28.571999999999999</v>
      </c>
      <c r="Q27" s="530">
        <f>'ARR (SLDC)'!H22</f>
        <v>28.57</v>
      </c>
      <c r="R27" s="91">
        <f t="shared" ref="R27" si="45">Q27</f>
        <v>28.57</v>
      </c>
      <c r="S27" s="530">
        <f>'ARR (SLDC)'!I22</f>
        <v>58.612877698286233</v>
      </c>
      <c r="T27" s="91">
        <f ca="1">T26</f>
        <v>55.147637895578974</v>
      </c>
      <c r="U27" s="530"/>
      <c r="V27" s="530">
        <f t="shared" ref="V27" si="46">J27+P27</f>
        <v>830.01189999999986</v>
      </c>
      <c r="W27" s="530">
        <f t="shared" si="5"/>
        <v>861.87917870000012</v>
      </c>
      <c r="X27" s="530">
        <f t="shared" si="5"/>
        <v>861.87917870000012</v>
      </c>
      <c r="Y27" s="530">
        <f t="shared" ca="1" si="6"/>
        <v>1266.0220596786555</v>
      </c>
      <c r="Z27" s="530">
        <f t="shared" ca="1" si="6"/>
        <v>1728.6360959054437</v>
      </c>
    </row>
    <row r="28" spans="3:28" s="147" customFormat="1" ht="24.95" customHeight="1">
      <c r="C28" s="2087">
        <v>17</v>
      </c>
      <c r="D28" s="1864" t="s">
        <v>2542</v>
      </c>
      <c r="E28" s="347"/>
      <c r="F28" s="347"/>
      <c r="G28" s="347"/>
      <c r="H28" s="347"/>
      <c r="I28" s="530"/>
      <c r="J28" s="530">
        <v>0</v>
      </c>
      <c r="K28" s="530">
        <f>K26-K27</f>
        <v>71.204594687889426</v>
      </c>
      <c r="L28" s="530">
        <f ca="1">L26-L27</f>
        <v>303.6955023940186</v>
      </c>
      <c r="M28" s="530">
        <f t="shared" ref="M28:Y28" ca="1" si="47">M26-M27</f>
        <v>0</v>
      </c>
      <c r="N28" s="530">
        <f ca="1">N26-N27</f>
        <v>0</v>
      </c>
      <c r="O28" s="530">
        <f>O26-O27</f>
        <v>0</v>
      </c>
      <c r="P28" s="530">
        <f t="shared" ref="P28:S28" si="48">P26-P27</f>
        <v>0</v>
      </c>
      <c r="Q28" s="530">
        <f t="shared" si="48"/>
        <v>0.2895463755624732</v>
      </c>
      <c r="R28" s="530">
        <f ca="1">R26-R27</f>
        <v>-1.3182778721273181</v>
      </c>
      <c r="S28" s="530">
        <f t="shared" si="48"/>
        <v>0</v>
      </c>
      <c r="T28" s="530">
        <f ca="1">T26-T27</f>
        <v>0</v>
      </c>
      <c r="U28" s="530"/>
      <c r="V28" s="530">
        <f t="shared" si="47"/>
        <v>0</v>
      </c>
      <c r="W28" s="530">
        <f t="shared" si="47"/>
        <v>71.494141063451821</v>
      </c>
      <c r="X28" s="530">
        <f t="shared" ref="X28" ca="1" si="49">X26-X27</f>
        <v>302.37722452189121</v>
      </c>
      <c r="Y28" s="530">
        <f t="shared" ca="1" si="47"/>
        <v>0</v>
      </c>
      <c r="Z28" s="530">
        <f t="shared" ref="Z28" ca="1" si="50">Z26-Z27</f>
        <v>0</v>
      </c>
    </row>
    <row r="29" spans="3:28" hidden="1">
      <c r="D29" s="2102"/>
      <c r="E29" s="2103">
        <f>E38</f>
        <v>0</v>
      </c>
      <c r="F29" s="2103">
        <f>F38</f>
        <v>0</v>
      </c>
      <c r="G29" s="2103" t="e">
        <f>'SLDC ARR'!#REF!-'SLDC ARR'!#REF!</f>
        <v>#REF!</v>
      </c>
      <c r="H29" s="2104">
        <v>0</v>
      </c>
    </row>
    <row r="30" spans="3:28" hidden="1">
      <c r="E30" s="346"/>
      <c r="F30" s="530" t="e">
        <f>#REF!-#REF!</f>
        <v>#REF!</v>
      </c>
      <c r="G30" s="530"/>
      <c r="H30" s="532"/>
      <c r="U30" s="1530">
        <f>K28+Q28</f>
        <v>71.494141063451906</v>
      </c>
    </row>
    <row r="31" spans="3:28" hidden="1">
      <c r="D31" s="2106"/>
      <c r="E31" s="346"/>
      <c r="F31" s="530"/>
      <c r="G31" s="530"/>
      <c r="H31" s="532"/>
    </row>
    <row r="32" spans="3:28" hidden="1">
      <c r="D32" s="2106"/>
      <c r="E32" s="346"/>
      <c r="F32" s="91"/>
      <c r="G32" s="91"/>
      <c r="H32" s="523"/>
    </row>
    <row r="33" spans="3:15" ht="16.5" hidden="1" thickBot="1">
      <c r="D33" s="2107" t="s">
        <v>185</v>
      </c>
      <c r="E33" s="2108" t="e">
        <f>#REF!</f>
        <v>#REF!</v>
      </c>
      <c r="F33" s="2108" t="e">
        <f>#REF!</f>
        <v>#REF!</v>
      </c>
      <c r="G33" s="2108" t="e">
        <f>'SLDC ARR'!#REF!-'SLDC ARR'!#REF!</f>
        <v>#REF!</v>
      </c>
      <c r="H33" s="2109" t="e">
        <f ca="1">H24</f>
        <v>#REF!</v>
      </c>
    </row>
    <row r="34" spans="3:15" ht="31.5" hidden="1">
      <c r="C34" s="2436" t="s">
        <v>1003</v>
      </c>
      <c r="D34" s="2438" t="s">
        <v>282</v>
      </c>
      <c r="E34" s="2440" t="s">
        <v>1034</v>
      </c>
      <c r="F34" s="2441"/>
      <c r="G34" s="2441"/>
      <c r="H34" s="2442"/>
      <c r="I34" s="2398" t="s">
        <v>1039</v>
      </c>
      <c r="J34" s="2399"/>
      <c r="K34" s="2400"/>
      <c r="L34" s="2211"/>
      <c r="M34" s="2162" t="s">
        <v>1041</v>
      </c>
      <c r="N34" s="2233"/>
    </row>
    <row r="35" spans="3:15" ht="31.5" hidden="1">
      <c r="C35" s="2437"/>
      <c r="D35" s="2439"/>
      <c r="E35" s="301" t="s">
        <v>1035</v>
      </c>
      <c r="F35" s="2161" t="s">
        <v>1036</v>
      </c>
      <c r="G35" s="294" t="s">
        <v>1038</v>
      </c>
      <c r="H35" s="1413" t="s">
        <v>1037</v>
      </c>
      <c r="I35" s="301" t="s">
        <v>1035</v>
      </c>
      <c r="J35" s="2161" t="s">
        <v>1036</v>
      </c>
      <c r="K35" s="1413" t="s">
        <v>2508</v>
      </c>
      <c r="L35" s="302"/>
      <c r="M35" s="302" t="s">
        <v>1040</v>
      </c>
      <c r="N35" s="2233"/>
    </row>
    <row r="36" spans="3:15" ht="16.5" hidden="1" thickBot="1">
      <c r="C36" s="298"/>
      <c r="D36" s="299" t="s">
        <v>1042</v>
      </c>
      <c r="E36" s="568">
        <v>1</v>
      </c>
      <c r="F36" s="500">
        <v>2</v>
      </c>
      <c r="G36" s="569">
        <v>3</v>
      </c>
      <c r="H36" s="501">
        <v>4</v>
      </c>
      <c r="I36" s="568">
        <v>5</v>
      </c>
      <c r="J36" s="500">
        <v>6</v>
      </c>
      <c r="K36" s="501" t="s">
        <v>1043</v>
      </c>
      <c r="L36" s="502"/>
      <c r="M36" s="303">
        <v>10</v>
      </c>
      <c r="N36" s="2233"/>
    </row>
    <row r="37" spans="3:15" hidden="1">
      <c r="C37" s="2007">
        <v>1</v>
      </c>
      <c r="D37" s="1443" t="s">
        <v>338</v>
      </c>
      <c r="E37" s="2110">
        <f ca="1">'F1'!D68+'SLDC ARR'!C37</f>
        <v>92.31</v>
      </c>
      <c r="F37" s="545">
        <f>'F1'!E68</f>
        <v>174.8299112</v>
      </c>
      <c r="G37" s="2111">
        <f>'F1'!F68</f>
        <v>0</v>
      </c>
      <c r="H37" s="2112">
        <f>'F1'!G68</f>
        <v>75.319120699999985</v>
      </c>
      <c r="I37" s="525">
        <f>'F1'!H68</f>
        <v>94.363734561000001</v>
      </c>
      <c r="J37" s="545">
        <f>'F1'!I68</f>
        <v>169.68285526100001</v>
      </c>
      <c r="K37" s="593">
        <f>'F1'!L68</f>
        <v>0</v>
      </c>
      <c r="L37" s="2232"/>
      <c r="M37" s="2113">
        <f>'F1'!M68+'F1(a)'!N50</f>
        <v>0</v>
      </c>
      <c r="N37" s="2234"/>
    </row>
    <row r="38" spans="3:15" hidden="1">
      <c r="C38" s="2007">
        <v>2</v>
      </c>
      <c r="D38" s="1443" t="s">
        <v>390</v>
      </c>
      <c r="E38" s="2114">
        <f>'F4'!D54+'SLDC ARR'!C39</f>
        <v>0</v>
      </c>
      <c r="F38" s="91">
        <f>'F4'!E54</f>
        <v>0</v>
      </c>
      <c r="G38" s="1448">
        <f>'F4'!F54</f>
        <v>0</v>
      </c>
      <c r="H38" s="523">
        <f>'F4'!G54</f>
        <v>0</v>
      </c>
      <c r="I38" s="524">
        <f>'F4'!H54</f>
        <v>0</v>
      </c>
      <c r="J38" s="91">
        <f>'F4'!I54</f>
        <v>0</v>
      </c>
      <c r="K38" s="82">
        <f>'F4'!L54</f>
        <v>0</v>
      </c>
      <c r="L38" s="2113"/>
      <c r="M38" s="2113">
        <f>'F4'!M54</f>
        <v>0</v>
      </c>
      <c r="N38" s="2234"/>
    </row>
    <row r="39" spans="3:15" hidden="1">
      <c r="C39" s="2007">
        <v>3</v>
      </c>
      <c r="D39" s="1443" t="s">
        <v>383</v>
      </c>
      <c r="E39" s="2115">
        <f>'F5'!D64</f>
        <v>0</v>
      </c>
      <c r="F39" s="599">
        <f>'F5'!E64</f>
        <v>0</v>
      </c>
      <c r="G39" s="2116">
        <f>'F5'!F64</f>
        <v>0</v>
      </c>
      <c r="H39" s="2117">
        <f>'F5'!G64</f>
        <v>0</v>
      </c>
      <c r="I39" s="2118">
        <f>'F5'!H64</f>
        <v>0</v>
      </c>
      <c r="J39" s="599">
        <v>11.17</v>
      </c>
      <c r="K39" s="1410">
        <f>'F5'!L64</f>
        <v>0</v>
      </c>
      <c r="L39" s="2119"/>
      <c r="M39" s="2119">
        <f>'F5'!M64</f>
        <v>0</v>
      </c>
      <c r="N39" s="2089"/>
      <c r="O39" s="2120"/>
    </row>
    <row r="40" spans="3:15" hidden="1">
      <c r="C40" s="2007">
        <v>4</v>
      </c>
      <c r="D40" s="1443" t="s">
        <v>384</v>
      </c>
      <c r="E40" s="2114">
        <f>'F9'!D77</f>
        <v>0</v>
      </c>
      <c r="F40" s="91">
        <f>'F9'!E77</f>
        <v>0</v>
      </c>
      <c r="G40" s="1448">
        <f>'F9'!F77</f>
        <v>0</v>
      </c>
      <c r="H40" s="523">
        <f>'F9'!G77</f>
        <v>0</v>
      </c>
      <c r="I40" s="524">
        <v>151.80000000000001</v>
      </c>
      <c r="J40" s="91">
        <f>'F9'!I77</f>
        <v>0</v>
      </c>
      <c r="K40" s="82">
        <f>'F9'!L77</f>
        <v>0</v>
      </c>
      <c r="L40" s="2113"/>
      <c r="M40" s="2113">
        <f>'F9'!M77</f>
        <v>0</v>
      </c>
      <c r="N40" s="2234"/>
      <c r="O40" s="1794"/>
    </row>
    <row r="41" spans="3:15" hidden="1">
      <c r="C41" s="2007">
        <v>5</v>
      </c>
      <c r="D41" s="1443" t="s">
        <v>385</v>
      </c>
      <c r="E41" s="2121">
        <f>'F21'!D43</f>
        <v>0</v>
      </c>
      <c r="F41" s="91">
        <f>'F21'!E43</f>
        <v>0</v>
      </c>
      <c r="G41" s="1448">
        <f>'F21'!F43+('Schedules of Accounts'!E257+'Schedules of Accounts'!E49+'Schedules of Accounts'!E1568)/10^7</f>
        <v>0.6288743</v>
      </c>
      <c r="H41" s="523">
        <f>'F21'!E57</f>
        <v>0</v>
      </c>
      <c r="I41" s="524">
        <f>'F21'!H43</f>
        <v>0</v>
      </c>
      <c r="J41" s="91" t="e">
        <f>'F21'!#REF!</f>
        <v>#REF!</v>
      </c>
      <c r="K41" s="82">
        <f>'F21'!G60</f>
        <v>0</v>
      </c>
      <c r="L41" s="2113"/>
      <c r="M41" s="2113">
        <f>'F21'!H60</f>
        <v>0</v>
      </c>
      <c r="N41" s="2234"/>
      <c r="O41" s="1794"/>
    </row>
    <row r="42" spans="3:15" ht="31.5" hidden="1">
      <c r="C42" s="2007">
        <v>6</v>
      </c>
      <c r="D42" s="1443" t="s">
        <v>1939</v>
      </c>
      <c r="E42" s="2121"/>
      <c r="F42" s="91"/>
      <c r="G42" s="1448"/>
      <c r="H42" s="2117">
        <f>G43</f>
        <v>0</v>
      </c>
      <c r="I42" s="524"/>
      <c r="J42" s="91"/>
      <c r="K42" s="348"/>
      <c r="L42" s="351"/>
      <c r="M42" s="351"/>
      <c r="N42" s="1794"/>
    </row>
    <row r="43" spans="3:15" hidden="1">
      <c r="C43" s="2007">
        <v>6</v>
      </c>
      <c r="D43" s="1443" t="s">
        <v>340</v>
      </c>
      <c r="E43" s="2122">
        <f>'F20 R'!D45+'SLDC ARR'!C43</f>
        <v>0</v>
      </c>
      <c r="F43" s="2013">
        <f>'F20 R'!E45</f>
        <v>0</v>
      </c>
      <c r="G43" s="2123">
        <f>'F20 R'!F45</f>
        <v>0</v>
      </c>
      <c r="H43" s="523">
        <f>'F20 R'!G45</f>
        <v>0</v>
      </c>
      <c r="I43" s="2124">
        <f>'F20 R'!H45</f>
        <v>0</v>
      </c>
      <c r="J43" s="2013">
        <f>'F20 R'!I45</f>
        <v>0</v>
      </c>
      <c r="K43" s="82">
        <f>'F20 R'!L45</f>
        <v>0</v>
      </c>
      <c r="L43" s="2113"/>
      <c r="M43" s="2113">
        <f>'F20 R'!N45</f>
        <v>0</v>
      </c>
      <c r="N43" s="2234"/>
    </row>
    <row r="44" spans="3:15" hidden="1">
      <c r="C44" s="2007">
        <v>7</v>
      </c>
      <c r="D44" s="1443" t="s">
        <v>2530</v>
      </c>
      <c r="E44" s="2114">
        <f>'F16'!D39</f>
        <v>0</v>
      </c>
      <c r="F44" s="91">
        <f>'F16'!E39</f>
        <v>0</v>
      </c>
      <c r="G44" s="1448"/>
      <c r="H44" s="523">
        <f>'F16'!G39</f>
        <v>0</v>
      </c>
      <c r="I44" s="524">
        <f>'F16'!H39</f>
        <v>0</v>
      </c>
      <c r="J44" s="91">
        <f>'F16'!I39</f>
        <v>0</v>
      </c>
      <c r="K44" s="82">
        <f>'F16'!L39</f>
        <v>0</v>
      </c>
      <c r="L44" s="2113"/>
      <c r="M44" s="2113">
        <f>'F16'!M39</f>
        <v>0</v>
      </c>
      <c r="N44" s="2234"/>
    </row>
    <row r="45" spans="3:15" hidden="1">
      <c r="C45" s="2007">
        <v>8</v>
      </c>
      <c r="D45" s="1443" t="s">
        <v>1412</v>
      </c>
      <c r="E45" s="2114">
        <f>'F11'!D37</f>
        <v>0</v>
      </c>
      <c r="F45" s="91">
        <f>'F11'!E37</f>
        <v>0</v>
      </c>
      <c r="G45" s="1448">
        <f>'F11'!F37</f>
        <v>0</v>
      </c>
      <c r="H45" s="523">
        <f>'F11'!G39</f>
        <v>0</v>
      </c>
      <c r="I45" s="524">
        <f>'F11'!H37</f>
        <v>0</v>
      </c>
      <c r="J45" s="91">
        <f>'F11'!I37</f>
        <v>0</v>
      </c>
      <c r="K45" s="348">
        <f>'F11'!L39</f>
        <v>0</v>
      </c>
      <c r="L45" s="351"/>
      <c r="M45" s="351">
        <f>'F11'!M39</f>
        <v>0</v>
      </c>
      <c r="N45" s="1794"/>
    </row>
    <row r="46" spans="3:15" hidden="1">
      <c r="C46" s="2007">
        <v>8</v>
      </c>
      <c r="D46" s="1443" t="s">
        <v>386</v>
      </c>
      <c r="E46" s="2125">
        <f t="shared" ref="E46:J46" ca="1" si="51">SUM(E37:E45)</f>
        <v>92.31</v>
      </c>
      <c r="F46" s="530">
        <f t="shared" si="51"/>
        <v>174.8299112</v>
      </c>
      <c r="G46" s="1447">
        <f t="shared" si="51"/>
        <v>0.6288743</v>
      </c>
      <c r="H46" s="532">
        <f t="shared" si="51"/>
        <v>75.319120699999985</v>
      </c>
      <c r="I46" s="531">
        <f t="shared" si="51"/>
        <v>246.16373456100001</v>
      </c>
      <c r="J46" s="530" t="e">
        <f t="shared" si="51"/>
        <v>#REF!</v>
      </c>
      <c r="K46" s="533">
        <f>SUM(K37:K45)</f>
        <v>0</v>
      </c>
      <c r="L46" s="1397"/>
      <c r="M46" s="1397">
        <f>SUM(M37:M45)</f>
        <v>0</v>
      </c>
      <c r="N46" s="2235"/>
    </row>
    <row r="47" spans="3:15" hidden="1">
      <c r="C47" s="2007">
        <v>9</v>
      </c>
      <c r="D47" s="1443" t="s">
        <v>391</v>
      </c>
      <c r="E47" s="2126" t="e">
        <f>#REF!+'SLDC ARR'!C47</f>
        <v>#REF!</v>
      </c>
      <c r="F47" s="1536" t="e">
        <f>#REF!</f>
        <v>#REF!</v>
      </c>
      <c r="G47" s="2127" t="e">
        <f>#REF!</f>
        <v>#REF!</v>
      </c>
      <c r="H47" s="2128" t="e">
        <f>#REF!</f>
        <v>#REF!</v>
      </c>
      <c r="I47" s="2129" t="e">
        <f>#REF!</f>
        <v>#REF!</v>
      </c>
      <c r="J47" s="1536" t="e">
        <f>#REF!</f>
        <v>#REF!</v>
      </c>
      <c r="K47" s="82" t="e">
        <f>#REF!</f>
        <v>#REF!</v>
      </c>
      <c r="L47" s="2113"/>
      <c r="M47" s="2113" t="e">
        <f>#REF!</f>
        <v>#REF!</v>
      </c>
      <c r="N47" s="2234"/>
    </row>
    <row r="48" spans="3:15" hidden="1">
      <c r="C48" s="1440">
        <v>10</v>
      </c>
      <c r="D48" s="1444" t="s">
        <v>1029</v>
      </c>
      <c r="E48" s="531" t="e">
        <f t="shared" ref="E48:J48" ca="1" si="52">E46-E47</f>
        <v>#REF!</v>
      </c>
      <c r="F48" s="530" t="e">
        <f t="shared" si="52"/>
        <v>#REF!</v>
      </c>
      <c r="G48" s="530" t="e">
        <f t="shared" si="52"/>
        <v>#REF!</v>
      </c>
      <c r="H48" s="532" t="e">
        <f t="shared" si="52"/>
        <v>#REF!</v>
      </c>
      <c r="I48" s="531" t="e">
        <f t="shared" si="52"/>
        <v>#REF!</v>
      </c>
      <c r="J48" s="530" t="e">
        <f t="shared" si="52"/>
        <v>#REF!</v>
      </c>
      <c r="K48" s="533" t="e">
        <f>K46-K47</f>
        <v>#REF!</v>
      </c>
      <c r="L48" s="1397"/>
      <c r="M48" s="1397" t="e">
        <f>M46-M47</f>
        <v>#REF!</v>
      </c>
      <c r="N48" s="2235"/>
    </row>
    <row r="49" spans="3:26" hidden="1">
      <c r="C49" s="2007">
        <v>11</v>
      </c>
      <c r="D49" s="1445" t="s">
        <v>2531</v>
      </c>
      <c r="E49" s="524">
        <v>59.71</v>
      </c>
      <c r="F49" s="91">
        <v>0</v>
      </c>
      <c r="G49" s="91">
        <v>0</v>
      </c>
      <c r="H49" s="523"/>
      <c r="I49" s="524">
        <v>54.89</v>
      </c>
      <c r="J49" s="91">
        <v>0</v>
      </c>
      <c r="K49" s="82"/>
      <c r="L49" s="2113"/>
      <c r="M49" s="351"/>
      <c r="N49" s="1794"/>
    </row>
    <row r="50" spans="3:26" hidden="1">
      <c r="C50" s="2007">
        <v>12</v>
      </c>
      <c r="D50" s="1446" t="s">
        <v>2529</v>
      </c>
      <c r="E50" s="531" t="e">
        <f ca="1">E48+E49</f>
        <v>#REF!</v>
      </c>
      <c r="F50" s="530" t="e">
        <f>F48+F49</f>
        <v>#REF!</v>
      </c>
      <c r="G50" s="530" t="e">
        <f>G48+G49</f>
        <v>#REF!</v>
      </c>
      <c r="H50" s="532" t="e">
        <f>H48</f>
        <v>#REF!</v>
      </c>
      <c r="I50" s="531" t="e">
        <f>I48+I49</f>
        <v>#REF!</v>
      </c>
      <c r="J50" s="530" t="e">
        <f>J48+J49</f>
        <v>#REF!</v>
      </c>
      <c r="K50" s="533" t="e">
        <f>K48</f>
        <v>#REF!</v>
      </c>
      <c r="L50" s="1397"/>
      <c r="M50" s="1397" t="e">
        <f>M48</f>
        <v>#REF!</v>
      </c>
      <c r="N50" s="2235"/>
    </row>
    <row r="51" spans="3:26" hidden="1">
      <c r="C51" s="2007"/>
      <c r="D51" s="1446" t="s">
        <v>2532</v>
      </c>
      <c r="E51" s="531"/>
      <c r="F51" s="530"/>
      <c r="G51" s="530"/>
      <c r="H51" s="532"/>
      <c r="I51" s="531"/>
      <c r="J51" s="530"/>
      <c r="K51" s="82"/>
      <c r="L51" s="2113"/>
      <c r="M51" s="351"/>
      <c r="N51" s="1794"/>
    </row>
    <row r="52" spans="3:26" hidden="1"/>
    <row r="53" spans="3:26">
      <c r="Y53" s="1530"/>
      <c r="Z53" s="1530"/>
    </row>
  </sheetData>
  <sheetProtection selectLockedCells="1" selectUnlockedCells="1"/>
  <mergeCells count="23">
    <mergeCell ref="Y1:Z1"/>
    <mergeCell ref="C2:Y2"/>
    <mergeCell ref="C3:Y3"/>
    <mergeCell ref="C4:Y4"/>
    <mergeCell ref="O7:T7"/>
    <mergeCell ref="I7:N7"/>
    <mergeCell ref="U7:Z7"/>
    <mergeCell ref="Z3:AA3"/>
    <mergeCell ref="U8:X8"/>
    <mergeCell ref="C5:Y5"/>
    <mergeCell ref="S6:Y6"/>
    <mergeCell ref="C7:C9"/>
    <mergeCell ref="D7:D9"/>
    <mergeCell ref="E8:H8"/>
    <mergeCell ref="Y8:Z8"/>
    <mergeCell ref="M8:N8"/>
    <mergeCell ref="O8:R8"/>
    <mergeCell ref="S8:T8"/>
    <mergeCell ref="C34:C35"/>
    <mergeCell ref="D34:D35"/>
    <mergeCell ref="E34:H34"/>
    <mergeCell ref="I34:K34"/>
    <mergeCell ref="I8:L8"/>
  </mergeCells>
  <printOptions horizontalCentered="1"/>
  <pageMargins left="0.7" right="0.7" top="0.75" bottom="0.75" header="0.3" footer="0.3"/>
  <pageSetup paperSize="9" scale="58" firstPageNumber="2" orientation="landscape" useFirstPageNumber="1" r:id="rId1"/>
  <headerFooter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26"/>
  <sheetViews>
    <sheetView view="pageBreakPreview" topLeftCell="A7" zoomScale="69" zoomScaleNormal="90" zoomScaleSheetLayoutView="69" workbookViewId="0">
      <selection activeCell="I9" sqref="I9"/>
    </sheetView>
  </sheetViews>
  <sheetFormatPr defaultRowHeight="15.75"/>
  <cols>
    <col min="1" max="1" width="2.7109375" style="2" customWidth="1"/>
    <col min="2" max="2" width="9.28515625" style="2" bestFit="1" customWidth="1"/>
    <col min="3" max="3" width="41.5703125" style="2" bestFit="1" customWidth="1"/>
    <col min="4" max="4" width="15" style="2" customWidth="1"/>
    <col min="5" max="5" width="9.85546875" style="2" customWidth="1"/>
    <col min="6" max="6" width="8.140625" style="2" hidden="1" customWidth="1"/>
    <col min="7" max="7" width="10.42578125" style="2" hidden="1" customWidth="1"/>
    <col min="8" max="8" width="15" style="2" customWidth="1"/>
    <col min="9" max="9" width="24.85546875" style="2" customWidth="1"/>
    <col min="10" max="10" width="23.5703125" style="2" customWidth="1"/>
    <col min="11" max="11" width="15.7109375" style="2" customWidth="1"/>
    <col min="12" max="12" width="41" style="2" bestFit="1" customWidth="1"/>
    <col min="13" max="13" width="11.5703125" style="2" bestFit="1" customWidth="1"/>
    <col min="14" max="14" width="7.85546875" style="2" bestFit="1" customWidth="1"/>
    <col min="15" max="15" width="11.7109375" style="2" bestFit="1" customWidth="1"/>
    <col min="16" max="16" width="15.7109375" style="2" bestFit="1" customWidth="1"/>
    <col min="17" max="16384" width="9.140625" style="2"/>
  </cols>
  <sheetData>
    <row r="1" spans="2:18" ht="15.75" customHeight="1">
      <c r="B1" s="2418" t="s">
        <v>2549</v>
      </c>
      <c r="C1" s="2418"/>
      <c r="D1" s="2418"/>
      <c r="E1" s="2418"/>
      <c r="F1" s="2418"/>
      <c r="G1" s="2418"/>
      <c r="H1" s="2418"/>
      <c r="I1" s="2418"/>
      <c r="K1" s="2418" t="s">
        <v>2549</v>
      </c>
      <c r="L1" s="2418"/>
      <c r="M1" s="2418"/>
      <c r="N1" s="2418"/>
      <c r="O1" s="2418"/>
      <c r="P1" s="2418"/>
      <c r="Q1" s="2418"/>
      <c r="R1" s="2418"/>
    </row>
    <row r="2" spans="2:18" ht="15.75" customHeight="1">
      <c r="B2" s="2419" t="s">
        <v>2689</v>
      </c>
      <c r="C2" s="2419"/>
      <c r="D2" s="2419"/>
      <c r="E2" s="2419"/>
      <c r="F2" s="2419"/>
      <c r="G2" s="2419"/>
      <c r="H2" s="2419"/>
      <c r="I2" s="2419"/>
      <c r="K2" s="2419" t="s">
        <v>2689</v>
      </c>
      <c r="L2" s="2419"/>
      <c r="M2" s="2419"/>
      <c r="N2" s="2419"/>
      <c r="O2" s="2419"/>
      <c r="P2" s="2419"/>
      <c r="Q2" s="2419"/>
      <c r="R2" s="2419"/>
    </row>
    <row r="3" spans="2:18">
      <c r="B3" s="83"/>
      <c r="C3" s="83"/>
      <c r="D3" s="83"/>
      <c r="E3" s="83"/>
      <c r="F3" s="83"/>
      <c r="G3" s="83"/>
      <c r="H3" s="83"/>
      <c r="I3" s="83"/>
      <c r="K3" s="83"/>
      <c r="L3" s="83"/>
      <c r="M3" s="83"/>
      <c r="N3" s="83"/>
      <c r="O3" s="83"/>
      <c r="P3" s="83"/>
      <c r="Q3" s="83"/>
      <c r="R3" s="83"/>
    </row>
    <row r="4" spans="2:18">
      <c r="B4" s="2447" t="s">
        <v>2571</v>
      </c>
      <c r="C4" s="2447"/>
      <c r="D4" s="2447"/>
      <c r="E4" s="2447"/>
      <c r="F4" s="2447"/>
      <c r="G4" s="2447"/>
      <c r="H4" s="2447"/>
      <c r="I4" s="2447"/>
      <c r="K4" s="2447" t="s">
        <v>2758</v>
      </c>
      <c r="L4" s="2447"/>
      <c r="M4" s="2447"/>
      <c r="N4" s="2447"/>
      <c r="O4" s="2447"/>
      <c r="P4" s="2447"/>
      <c r="Q4" s="2447"/>
      <c r="R4" s="2447"/>
    </row>
    <row r="5" spans="2:18" s="83" customFormat="1">
      <c r="B5" s="2447" t="s">
        <v>2760</v>
      </c>
      <c r="C5" s="2447"/>
      <c r="D5" s="2447"/>
      <c r="E5" s="2447"/>
      <c r="F5" s="2447"/>
      <c r="G5" s="2447"/>
      <c r="H5" s="2447"/>
      <c r="I5" s="2447"/>
      <c r="K5" s="2447" t="s">
        <v>2760</v>
      </c>
      <c r="L5" s="2447"/>
      <c r="M5" s="2447"/>
      <c r="N5" s="2447"/>
      <c r="O5" s="2447"/>
      <c r="P5" s="2447"/>
      <c r="Q5" s="2447"/>
      <c r="R5" s="2447"/>
    </row>
    <row r="6" spans="2:18" s="83" customFormat="1" ht="16.5" thickBot="1">
      <c r="I6" s="2176" t="s">
        <v>96</v>
      </c>
    </row>
    <row r="7" spans="2:18" ht="36" customHeight="1">
      <c r="B7" s="2448" t="s">
        <v>349</v>
      </c>
      <c r="C7" s="2450" t="s">
        <v>331</v>
      </c>
      <c r="D7" s="2452" t="s">
        <v>2591</v>
      </c>
      <c r="E7" s="2452"/>
      <c r="F7" s="2452"/>
      <c r="G7" s="2452"/>
      <c r="H7" s="2452"/>
      <c r="I7" s="2142" t="s">
        <v>2761</v>
      </c>
      <c r="K7" s="2448" t="s">
        <v>349</v>
      </c>
      <c r="L7" s="2450" t="s">
        <v>331</v>
      </c>
      <c r="M7" s="2452" t="s">
        <v>2591</v>
      </c>
      <c r="N7" s="2452"/>
      <c r="O7" s="2452"/>
      <c r="P7" s="2142" t="s">
        <v>2761</v>
      </c>
    </row>
    <row r="8" spans="2:18" s="54" customFormat="1" ht="42.75" customHeight="1">
      <c r="B8" s="2449"/>
      <c r="C8" s="2451"/>
      <c r="D8" s="2175" t="s">
        <v>1035</v>
      </c>
      <c r="E8" s="2175" t="s">
        <v>1036</v>
      </c>
      <c r="F8" s="2175" t="s">
        <v>2533</v>
      </c>
      <c r="G8" s="2175" t="s">
        <v>2534</v>
      </c>
      <c r="H8" s="2175" t="s">
        <v>2508</v>
      </c>
      <c r="I8" s="2141" t="s">
        <v>1040</v>
      </c>
      <c r="K8" s="2449"/>
      <c r="L8" s="2451"/>
      <c r="M8" s="2175" t="s">
        <v>1035</v>
      </c>
      <c r="N8" s="2175" t="s">
        <v>1036</v>
      </c>
      <c r="O8" s="2175" t="s">
        <v>2508</v>
      </c>
      <c r="P8" s="2141" t="s">
        <v>1040</v>
      </c>
    </row>
    <row r="9" spans="2:18" ht="24" customHeight="1">
      <c r="B9" s="1782">
        <v>1</v>
      </c>
      <c r="C9" s="20" t="s">
        <v>2744</v>
      </c>
      <c r="D9" s="2003">
        <f>[7]F1!$G$40</f>
        <v>8.89</v>
      </c>
      <c r="E9" s="1719">
        <f>[7]F1!$H$40</f>
        <v>4.54</v>
      </c>
      <c r="F9" s="1719" t="e">
        <f>#REF!</f>
        <v>#REF!</v>
      </c>
      <c r="G9" s="1719" t="e">
        <f>#REF!</f>
        <v>#REF!</v>
      </c>
      <c r="H9" s="1719">
        <f>[7]F1!$K$40</f>
        <v>9.0129999999999981</v>
      </c>
      <c r="I9" s="168">
        <f>[7]F1!$L$40</f>
        <v>10.544</v>
      </c>
      <c r="K9" s="1782">
        <v>1</v>
      </c>
      <c r="L9" s="20" t="s">
        <v>2744</v>
      </c>
      <c r="M9" s="2003">
        <f>'[7]F1-Modified'!$G$40</f>
        <v>8.89</v>
      </c>
      <c r="N9" s="1719">
        <f>'[7]F1-Modified'!$H$40</f>
        <v>4.54</v>
      </c>
      <c r="O9" s="1719">
        <f>'[7]F1-Modified'!$K$40</f>
        <v>9.0129999999999981</v>
      </c>
      <c r="P9" s="168">
        <f>'[7]F1-Modified'!$L$40</f>
        <v>9.06</v>
      </c>
    </row>
    <row r="10" spans="2:18" ht="24" customHeight="1">
      <c r="B10" s="1782">
        <v>2</v>
      </c>
      <c r="C10" s="20" t="s">
        <v>2745</v>
      </c>
      <c r="D10" s="2003">
        <f>[7]F3!$G$24</f>
        <v>3.19</v>
      </c>
      <c r="E10" s="1719">
        <f>[7]F3!$H$24</f>
        <v>0.18</v>
      </c>
      <c r="F10" s="1719"/>
      <c r="G10" s="1719"/>
      <c r="H10" s="1719">
        <f>[7]F3!$K$24</f>
        <v>4.0783035724192382</v>
      </c>
      <c r="I10" s="168">
        <f>[7]F3!$L$24</f>
        <v>8.163310199420188</v>
      </c>
      <c r="K10" s="1782">
        <v>2</v>
      </c>
      <c r="L10" s="20" t="s">
        <v>2745</v>
      </c>
      <c r="M10" s="2003">
        <f>[7]F3!$G$24</f>
        <v>3.19</v>
      </c>
      <c r="N10" s="1719">
        <f>[7]F3!$H$24</f>
        <v>0.18</v>
      </c>
      <c r="O10" s="1719">
        <f>[7]F3!$K$24</f>
        <v>4.0783035724192382</v>
      </c>
      <c r="P10" s="168">
        <f>[7]F3!$L$24</f>
        <v>8.163310199420188</v>
      </c>
    </row>
    <row r="11" spans="2:18" ht="24" customHeight="1">
      <c r="B11" s="1782">
        <v>3</v>
      </c>
      <c r="C11" s="20" t="s">
        <v>2762</v>
      </c>
      <c r="D11" s="2003">
        <f>[7]F4!$G$31</f>
        <v>1.4040000000000004</v>
      </c>
      <c r="E11" s="1719">
        <f>[7]F4!$H$31</f>
        <v>3.2000000000000001E-2</v>
      </c>
      <c r="F11" s="1719"/>
      <c r="G11" s="1719"/>
      <c r="H11" s="1719">
        <f>[7]F4!$K$31</f>
        <v>1.7546026282686078</v>
      </c>
      <c r="I11" s="168">
        <f>[7]F4!$L$31</f>
        <v>2.1120042168145479</v>
      </c>
      <c r="K11" s="1782">
        <v>3</v>
      </c>
      <c r="L11" s="20" t="s">
        <v>2762</v>
      </c>
      <c r="M11" s="2003">
        <f>[7]F4!$G$31</f>
        <v>1.4040000000000004</v>
      </c>
      <c r="N11" s="1719">
        <f>[7]F4!$H$31</f>
        <v>3.2000000000000001E-2</v>
      </c>
      <c r="O11" s="1719">
        <f>[7]F4!$K$31</f>
        <v>1.7546026282686078</v>
      </c>
      <c r="P11" s="168">
        <f>[7]F4!$L$31</f>
        <v>2.1120042168145479</v>
      </c>
    </row>
    <row r="12" spans="2:18" ht="24" customHeight="1">
      <c r="B12" s="1782">
        <v>4</v>
      </c>
      <c r="C12" s="20" t="s">
        <v>384</v>
      </c>
      <c r="D12" s="188">
        <v>1.07</v>
      </c>
      <c r="E12" s="1719">
        <v>0.4</v>
      </c>
      <c r="F12" s="1719"/>
      <c r="G12" s="1719"/>
      <c r="H12" s="1719">
        <f>[7]F8!$Z$88</f>
        <v>0.63391023646762845</v>
      </c>
      <c r="I12" s="168">
        <f>[7]F8!$AB$88</f>
        <v>1.3510025015186145</v>
      </c>
      <c r="K12" s="1782">
        <v>4</v>
      </c>
      <c r="L12" s="20" t="s">
        <v>384</v>
      </c>
      <c r="M12" s="188">
        <v>1.07</v>
      </c>
      <c r="N12" s="1719">
        <v>0.4</v>
      </c>
      <c r="O12" s="1719">
        <f>[7]F8!$Z$88</f>
        <v>0.63391023646762845</v>
      </c>
      <c r="P12" s="168">
        <f>[7]F8!$AB$88</f>
        <v>1.3510025015186145</v>
      </c>
    </row>
    <row r="13" spans="2:18" ht="24" customHeight="1">
      <c r="B13" s="1782">
        <v>5</v>
      </c>
      <c r="C13" s="1412" t="s">
        <v>385</v>
      </c>
      <c r="D13" s="188">
        <v>1.34</v>
      </c>
      <c r="E13" s="1719">
        <v>1.65</v>
      </c>
      <c r="F13" s="1719"/>
      <c r="G13" s="1719"/>
      <c r="H13" s="1719">
        <f>[7]F16!$K$17</f>
        <v>0.71143749999999994</v>
      </c>
      <c r="I13" s="168">
        <f>[7]F16!$L$17</f>
        <v>2.5728749999999998</v>
      </c>
      <c r="K13" s="1782">
        <v>5</v>
      </c>
      <c r="L13" s="1412" t="s">
        <v>385</v>
      </c>
      <c r="M13" s="188">
        <v>1.34</v>
      </c>
      <c r="N13" s="1719">
        <v>1.65</v>
      </c>
      <c r="O13" s="1719">
        <f>[7]F16!$K$17</f>
        <v>0.71143749999999994</v>
      </c>
      <c r="P13" s="168">
        <f>[7]F16!$L$17</f>
        <v>2.5728749999999998</v>
      </c>
    </row>
    <row r="14" spans="2:18" ht="24" customHeight="1">
      <c r="B14" s="1782">
        <v>6</v>
      </c>
      <c r="C14" s="1412" t="s">
        <v>2747</v>
      </c>
      <c r="D14" s="188">
        <v>1.0900000000000001</v>
      </c>
      <c r="E14" s="1719">
        <v>0.77</v>
      </c>
      <c r="F14" s="1719"/>
      <c r="G14" s="1719"/>
      <c r="H14" s="1719">
        <f>[7]F15!$J$15</f>
        <v>1.2132924384070063</v>
      </c>
      <c r="I14" s="168">
        <f>[7]F15!$K$15</f>
        <v>2.1574313145749486</v>
      </c>
      <c r="K14" s="1782">
        <v>6</v>
      </c>
      <c r="L14" s="1412" t="s">
        <v>2747</v>
      </c>
      <c r="M14" s="188">
        <v>1.0900000000000001</v>
      </c>
      <c r="N14" s="1719">
        <v>0.77</v>
      </c>
      <c r="O14" s="1719">
        <f>[7]F15!$J$15</f>
        <v>1.2132924384070063</v>
      </c>
      <c r="P14" s="168">
        <f>'[7]F15-Modified'!$K$15</f>
        <v>2.0676686490473966</v>
      </c>
    </row>
    <row r="15" spans="2:18" ht="24" customHeight="1">
      <c r="B15" s="1782">
        <v>7</v>
      </c>
      <c r="C15" s="1412" t="str">
        <f>[7]F9!B14</f>
        <v>ULDC Charges</v>
      </c>
      <c r="D15" s="188">
        <f>[7]F9!$E$14</f>
        <v>21</v>
      </c>
      <c r="E15" s="1719">
        <v>21</v>
      </c>
      <c r="F15" s="1719"/>
      <c r="G15" s="1719"/>
      <c r="H15" s="1719">
        <f>[7]F9!$H$23</f>
        <v>17.3</v>
      </c>
      <c r="I15" s="168">
        <f>[7]F9!$I$23</f>
        <v>31.4</v>
      </c>
      <c r="K15" s="1782">
        <v>7</v>
      </c>
      <c r="L15" s="1412" t="s">
        <v>196</v>
      </c>
      <c r="M15" s="188">
        <f>[7]F9!$E$14</f>
        <v>21</v>
      </c>
      <c r="N15" s="1719">
        <v>21</v>
      </c>
      <c r="O15" s="1719">
        <f>[7]F9!$H$23</f>
        <v>17.3</v>
      </c>
      <c r="P15" s="168">
        <f>[7]F9!$I$23</f>
        <v>31.4</v>
      </c>
    </row>
    <row r="16" spans="2:18" ht="24" customHeight="1">
      <c r="B16" s="1782">
        <v>8</v>
      </c>
      <c r="C16" s="1412" t="s">
        <v>421</v>
      </c>
      <c r="D16" s="2003">
        <v>1.08</v>
      </c>
      <c r="E16" s="1719">
        <f>[7]F14!$G$15</f>
        <v>0</v>
      </c>
      <c r="F16" s="1719">
        <f>[7]F14!H15</f>
        <v>0</v>
      </c>
      <c r="G16" s="1719">
        <f>[7]F14!I15</f>
        <v>0</v>
      </c>
      <c r="H16" s="1719">
        <f>[7]F14!$J$15</f>
        <v>0</v>
      </c>
      <c r="I16" s="168">
        <f>[7]F14!$K$15</f>
        <v>0</v>
      </c>
      <c r="K16" s="1782">
        <v>8</v>
      </c>
      <c r="L16" s="1412" t="s">
        <v>421</v>
      </c>
      <c r="M16" s="2003">
        <v>1.08</v>
      </c>
      <c r="N16" s="1719">
        <f>[7]F14!$G$15</f>
        <v>0</v>
      </c>
      <c r="O16" s="1719">
        <f>[7]F14!$J$15</f>
        <v>0</v>
      </c>
      <c r="P16" s="168">
        <f>[7]F14!$K$15</f>
        <v>0</v>
      </c>
    </row>
    <row r="17" spans="2:16" ht="24" customHeight="1">
      <c r="B17" s="1782">
        <v>9</v>
      </c>
      <c r="C17" s="20" t="s">
        <v>386</v>
      </c>
      <c r="D17" s="1442">
        <f t="shared" ref="D17:I17" si="0">SUM(D9:D16)</f>
        <v>39.064</v>
      </c>
      <c r="E17" s="1442">
        <f t="shared" si="0"/>
        <v>28.571999999999999</v>
      </c>
      <c r="F17" s="1442" t="e">
        <f t="shared" si="0"/>
        <v>#REF!</v>
      </c>
      <c r="G17" s="1442" t="e">
        <f t="shared" si="0"/>
        <v>#REF!</v>
      </c>
      <c r="H17" s="1442">
        <f t="shared" si="0"/>
        <v>34.704546375562472</v>
      </c>
      <c r="I17" s="1840">
        <f t="shared" si="0"/>
        <v>58.300623232328299</v>
      </c>
      <c r="K17" s="1782">
        <v>9</v>
      </c>
      <c r="L17" s="20" t="s">
        <v>386</v>
      </c>
      <c r="M17" s="1442">
        <f t="shared" ref="M17:P17" si="1">SUM(M9:M16)</f>
        <v>39.064</v>
      </c>
      <c r="N17" s="1442">
        <f t="shared" si="1"/>
        <v>28.571999999999999</v>
      </c>
      <c r="O17" s="1442">
        <f t="shared" si="1"/>
        <v>34.704546375562472</v>
      </c>
      <c r="P17" s="1840">
        <f t="shared" si="1"/>
        <v>56.726860566800745</v>
      </c>
    </row>
    <row r="18" spans="2:16" ht="24" customHeight="1">
      <c r="B18" s="1782">
        <v>10</v>
      </c>
      <c r="C18" s="20" t="s">
        <v>2535</v>
      </c>
      <c r="D18" s="2003">
        <f>[7]F12!F10</f>
        <v>0</v>
      </c>
      <c r="E18" s="1719">
        <f>[7]F12!G10</f>
        <v>0</v>
      </c>
      <c r="F18" s="1719">
        <f>[7]F12!H10</f>
        <v>0</v>
      </c>
      <c r="G18" s="1719">
        <f>[7]F12!I10</f>
        <v>1.4999999999999999E-2</v>
      </c>
      <c r="H18" s="1719">
        <f>[7]F12!J12</f>
        <v>5.8449999999999998</v>
      </c>
      <c r="I18" s="168">
        <f>[7]F12!K12</f>
        <v>0.02</v>
      </c>
      <c r="K18" s="1782">
        <v>10</v>
      </c>
      <c r="L18" s="20" t="s">
        <v>2535</v>
      </c>
      <c r="M18" s="2003">
        <f>[7]F12!O10</f>
        <v>0</v>
      </c>
      <c r="N18" s="1719">
        <f>[7]F12!$G$10</f>
        <v>0</v>
      </c>
      <c r="O18" s="1719">
        <f>[7]F12!$J$12</f>
        <v>5.8449999999999998</v>
      </c>
      <c r="P18" s="168">
        <f>[7]F12!$K$12</f>
        <v>0.02</v>
      </c>
    </row>
    <row r="19" spans="2:16" ht="24" customHeight="1">
      <c r="B19" s="1894">
        <v>11</v>
      </c>
      <c r="C19" s="50" t="s">
        <v>392</v>
      </c>
      <c r="D19" s="2005">
        <f>D17-D18</f>
        <v>39.064</v>
      </c>
      <c r="E19" s="2005">
        <f t="shared" ref="E19:I19" si="2">E17-E18</f>
        <v>28.571999999999999</v>
      </c>
      <c r="F19" s="2005" t="e">
        <f t="shared" si="2"/>
        <v>#REF!</v>
      </c>
      <c r="G19" s="2005" t="e">
        <f t="shared" si="2"/>
        <v>#REF!</v>
      </c>
      <c r="H19" s="2005">
        <f t="shared" si="2"/>
        <v>28.859546375562473</v>
      </c>
      <c r="I19" s="2177">
        <f t="shared" si="2"/>
        <v>58.280623232328296</v>
      </c>
      <c r="K19" s="1894">
        <v>11</v>
      </c>
      <c r="L19" s="50" t="s">
        <v>392</v>
      </c>
      <c r="M19" s="2005">
        <f>M17-M18</f>
        <v>39.064</v>
      </c>
      <c r="N19" s="2005">
        <f t="shared" ref="N19:P19" si="3">N17-N18</f>
        <v>28.571999999999999</v>
      </c>
      <c r="O19" s="2005">
        <f t="shared" si="3"/>
        <v>28.859546375562473</v>
      </c>
      <c r="P19" s="2177">
        <f t="shared" si="3"/>
        <v>56.706860566800742</v>
      </c>
    </row>
    <row r="20" spans="2:16" ht="33.75" customHeight="1">
      <c r="B20" s="1782">
        <v>12</v>
      </c>
      <c r="C20" s="20" t="s">
        <v>2690</v>
      </c>
      <c r="D20" s="2005"/>
      <c r="E20" s="2178"/>
      <c r="F20" s="1719"/>
      <c r="G20" s="1719"/>
      <c r="H20" s="2178"/>
      <c r="I20" s="2179">
        <f>[8]ARR!$P$25</f>
        <v>0.33225446595793801</v>
      </c>
      <c r="J20" s="61"/>
      <c r="K20" s="1782">
        <v>12</v>
      </c>
      <c r="L20" s="20" t="s">
        <v>2690</v>
      </c>
      <c r="M20" s="2005"/>
      <c r="N20" s="2178"/>
      <c r="O20" s="2178"/>
      <c r="P20" s="2179">
        <f>[8]ARR!$P$25</f>
        <v>0.33225446595793801</v>
      </c>
    </row>
    <row r="21" spans="2:16" ht="24" customHeight="1">
      <c r="B21" s="1894">
        <v>13</v>
      </c>
      <c r="C21" s="50" t="s">
        <v>2763</v>
      </c>
      <c r="D21" s="2005">
        <f>SUM(D19:D20)</f>
        <v>39.064</v>
      </c>
      <c r="E21" s="2005">
        <f t="shared" ref="E21:H21" si="4">SUM(E19:E20)</f>
        <v>28.571999999999999</v>
      </c>
      <c r="F21" s="2005" t="e">
        <f t="shared" si="4"/>
        <v>#REF!</v>
      </c>
      <c r="G21" s="2005" t="e">
        <f t="shared" si="4"/>
        <v>#REF!</v>
      </c>
      <c r="H21" s="2005">
        <f t="shared" si="4"/>
        <v>28.859546375562473</v>
      </c>
      <c r="I21" s="2179">
        <f>SUM(I19:I20)</f>
        <v>58.612877698286233</v>
      </c>
      <c r="J21" s="61"/>
      <c r="K21" s="1894">
        <v>13</v>
      </c>
      <c r="L21" s="50" t="s">
        <v>2763</v>
      </c>
      <c r="M21" s="2005">
        <f>SUM(M19:M20)</f>
        <v>39.064</v>
      </c>
      <c r="N21" s="2005">
        <f t="shared" ref="N21:O21" si="5">SUM(N19:N20)</f>
        <v>28.571999999999999</v>
      </c>
      <c r="O21" s="2005">
        <f t="shared" si="5"/>
        <v>28.859546375562473</v>
      </c>
      <c r="P21" s="2179">
        <f>SUM(P19:P20)</f>
        <v>57.03911503275868</v>
      </c>
    </row>
    <row r="22" spans="2:16" ht="24" customHeight="1">
      <c r="B22" s="1894">
        <v>14</v>
      </c>
      <c r="C22" s="50" t="s">
        <v>2537</v>
      </c>
      <c r="D22" s="2005">
        <f>D19</f>
        <v>39.064</v>
      </c>
      <c r="E22" s="2178">
        <f>[7]F17!$E$10</f>
        <v>28.57</v>
      </c>
      <c r="F22" s="2178"/>
      <c r="G22" s="2178"/>
      <c r="H22" s="2178">
        <f>[7]F17!$H$11</f>
        <v>28.57</v>
      </c>
      <c r="I22" s="168">
        <f>I21</f>
        <v>58.612877698286233</v>
      </c>
      <c r="J22" s="61"/>
      <c r="K22" s="1894">
        <v>14</v>
      </c>
      <c r="L22" s="50" t="s">
        <v>2537</v>
      </c>
      <c r="M22" s="2005">
        <f>M19</f>
        <v>39.064</v>
      </c>
      <c r="N22" s="2178">
        <f>[7]F17!$E$10</f>
        <v>28.57</v>
      </c>
      <c r="O22" s="2178">
        <f>[7]F17!$H$11</f>
        <v>28.57</v>
      </c>
      <c r="P22" s="168">
        <f>P21</f>
        <v>57.03911503275868</v>
      </c>
    </row>
    <row r="23" spans="2:16" ht="24" customHeight="1" thickBot="1">
      <c r="B23" s="2180">
        <v>15</v>
      </c>
      <c r="C23" s="1441" t="s">
        <v>2538</v>
      </c>
      <c r="D23" s="2169">
        <f>D19-D22</f>
        <v>0</v>
      </c>
      <c r="E23" s="2181">
        <f>E19-E22</f>
        <v>1.9999999999988916E-3</v>
      </c>
      <c r="F23" s="2181"/>
      <c r="G23" s="2181"/>
      <c r="H23" s="2181">
        <f>H19-H22</f>
        <v>0.2895463755624732</v>
      </c>
      <c r="I23" s="2182">
        <f>I21-I22</f>
        <v>0</v>
      </c>
      <c r="J23" s="61"/>
      <c r="K23" s="2180">
        <v>15</v>
      </c>
      <c r="L23" s="1441" t="s">
        <v>2538</v>
      </c>
      <c r="M23" s="2169">
        <f>M19-M22</f>
        <v>0</v>
      </c>
      <c r="N23" s="2181">
        <f>N19-N22</f>
        <v>1.9999999999988916E-3</v>
      </c>
      <c r="O23" s="2181">
        <f>O19-O22</f>
        <v>0.2895463755624732</v>
      </c>
      <c r="P23" s="2182">
        <f>P21-P22</f>
        <v>0</v>
      </c>
    </row>
    <row r="24" spans="2:16" hidden="1">
      <c r="I24" s="61">
        <f>I23/12</f>
        <v>0</v>
      </c>
      <c r="J24" s="1910">
        <f>I24*10^7</f>
        <v>0</v>
      </c>
    </row>
    <row r="25" spans="2:16" hidden="1">
      <c r="I25" s="61">
        <f>I19-I16</f>
        <v>58.280623232328296</v>
      </c>
    </row>
    <row r="26" spans="2:16" hidden="1"/>
  </sheetData>
  <mergeCells count="14">
    <mergeCell ref="B1:I1"/>
    <mergeCell ref="B2:I2"/>
    <mergeCell ref="B4:I4"/>
    <mergeCell ref="K7:K8"/>
    <mergeCell ref="L7:L8"/>
    <mergeCell ref="K1:R1"/>
    <mergeCell ref="K2:R2"/>
    <mergeCell ref="K4:R4"/>
    <mergeCell ref="B7:B8"/>
    <mergeCell ref="C7:C8"/>
    <mergeCell ref="D7:H7"/>
    <mergeCell ref="B5:I5"/>
    <mergeCell ref="K5:R5"/>
    <mergeCell ref="M7:O7"/>
  </mergeCells>
  <printOptions horizontalCentered="1"/>
  <pageMargins left="0.70866141732283505" right="0.70866141732283505" top="0.74803149606299202" bottom="0.74803149606299202" header="0.31496062992126" footer="0.31496062992126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2"/>
  <sheetViews>
    <sheetView view="pageBreakPreview" zoomScale="70" zoomScaleNormal="90" zoomScaleSheetLayoutView="70" workbookViewId="0">
      <selection activeCell="M3" sqref="M3:T3"/>
    </sheetView>
  </sheetViews>
  <sheetFormatPr defaultRowHeight="15" customHeight="1"/>
  <cols>
    <col min="1" max="1" width="3.42578125" style="2258" customWidth="1"/>
    <col min="2" max="2" width="7.85546875" style="2258" customWidth="1"/>
    <col min="3" max="3" width="47.28515625" style="2258" customWidth="1"/>
    <col min="4" max="4" width="26.140625" style="2258" hidden="1" customWidth="1"/>
    <col min="5" max="5" width="23.7109375" style="2258" hidden="1" customWidth="1"/>
    <col min="6" max="6" width="19" style="2258" hidden="1" customWidth="1"/>
    <col min="7" max="7" width="19.42578125" style="2258" hidden="1" customWidth="1"/>
    <col min="8" max="8" width="16.85546875" style="2258" hidden="1" customWidth="1"/>
    <col min="9" max="9" width="20" style="2258" hidden="1" customWidth="1"/>
    <col min="10" max="10" width="24.28515625" style="2258" hidden="1" customWidth="1"/>
    <col min="11" max="11" width="17" style="2258" bestFit="1" customWidth="1"/>
    <col min="12" max="12" width="17" style="2258" customWidth="1"/>
    <col min="13" max="13" width="15" style="2258" customWidth="1"/>
    <col min="14" max="14" width="17.5703125" style="2258" hidden="1" customWidth="1"/>
    <col min="15" max="15" width="9.140625" style="2258" hidden="1" customWidth="1"/>
    <col min="16" max="16" width="28.28515625" style="2258" hidden="1" customWidth="1"/>
    <col min="17" max="19" width="9.140625" style="2258" hidden="1" customWidth="1"/>
    <col min="20" max="22" width="9.140625" style="2258" customWidth="1"/>
    <col min="23" max="23" width="21.28515625" style="2258" customWidth="1"/>
    <col min="24" max="24" width="9.140625" style="2258" customWidth="1"/>
    <col min="25" max="16384" width="9.140625" style="2258"/>
  </cols>
  <sheetData>
    <row r="1" spans="2:20" ht="15.75" customHeight="1">
      <c r="B1" s="2466" t="s">
        <v>2549</v>
      </c>
      <c r="C1" s="2466"/>
      <c r="D1" s="2466"/>
      <c r="E1" s="2466"/>
      <c r="F1" s="2466"/>
      <c r="G1" s="2466"/>
      <c r="H1" s="2466"/>
      <c r="I1" s="2466"/>
      <c r="J1" s="2466"/>
      <c r="K1" s="2466"/>
      <c r="L1" s="2466"/>
      <c r="M1" s="2466"/>
    </row>
    <row r="2" spans="2:20" ht="15.75" customHeight="1">
      <c r="B2" s="2467" t="s">
        <v>2689</v>
      </c>
      <c r="C2" s="2467"/>
      <c r="D2" s="2467"/>
      <c r="E2" s="2467"/>
      <c r="F2" s="2467"/>
      <c r="G2" s="2467"/>
      <c r="H2" s="2467"/>
      <c r="I2" s="2467"/>
      <c r="J2" s="2467"/>
      <c r="K2" s="2467"/>
      <c r="L2" s="2467"/>
      <c r="M2" s="2467"/>
      <c r="O2" s="2300">
        <v>0.1</v>
      </c>
      <c r="P2" s="2258" t="s">
        <v>2789</v>
      </c>
    </row>
    <row r="3" spans="2:20" ht="15.75" customHeight="1">
      <c r="B3" s="2332"/>
      <c r="C3" s="2332"/>
      <c r="D3" s="2332"/>
      <c r="E3" s="2332"/>
      <c r="F3" s="2332"/>
      <c r="G3" s="2332"/>
      <c r="H3" s="2332"/>
      <c r="I3" s="2332"/>
      <c r="J3" s="2332"/>
      <c r="K3" s="2332"/>
      <c r="L3" s="2332"/>
      <c r="M3" s="2467" t="s">
        <v>2794</v>
      </c>
      <c r="N3" s="2467"/>
      <c r="O3" s="2467"/>
      <c r="P3" s="2467"/>
      <c r="Q3" s="2467"/>
      <c r="R3" s="2467"/>
      <c r="S3" s="2467"/>
      <c r="T3" s="2467"/>
    </row>
    <row r="4" spans="2:20" ht="15.75">
      <c r="B4" s="2464" t="s">
        <v>2740</v>
      </c>
      <c r="C4" s="2464"/>
      <c r="D4" s="2464"/>
      <c r="E4" s="2464"/>
      <c r="F4" s="2464"/>
      <c r="G4" s="2464"/>
      <c r="H4" s="2464"/>
      <c r="I4" s="2464"/>
      <c r="J4" s="2464"/>
      <c r="K4" s="2464"/>
      <c r="L4" s="2464"/>
      <c r="M4" s="2464"/>
      <c r="N4" s="2464"/>
      <c r="O4" s="2464"/>
      <c r="P4" s="2464"/>
      <c r="Q4" s="2464"/>
      <c r="R4" s="2464"/>
      <c r="S4" s="2464"/>
      <c r="T4" s="2464"/>
    </row>
    <row r="5" spans="2:20" ht="15.75">
      <c r="B5" s="2464" t="s">
        <v>2572</v>
      </c>
      <c r="C5" s="2464"/>
      <c r="D5" s="2464"/>
      <c r="E5" s="2464"/>
      <c r="F5" s="2464"/>
      <c r="G5" s="2464"/>
      <c r="H5" s="2464"/>
      <c r="I5" s="2464"/>
      <c r="J5" s="2464"/>
      <c r="K5" s="2464"/>
      <c r="L5" s="2464"/>
      <c r="M5" s="2464"/>
      <c r="O5" s="2300"/>
    </row>
    <row r="6" spans="2:20" ht="15.75">
      <c r="B6" s="2468" t="s">
        <v>1022</v>
      </c>
      <c r="C6" s="2468"/>
      <c r="D6" s="2468"/>
      <c r="E6" s="2468"/>
      <c r="F6" s="2468"/>
      <c r="G6" s="2468"/>
      <c r="H6" s="2468"/>
      <c r="I6" s="2468"/>
      <c r="J6" s="2468"/>
      <c r="K6" s="2468"/>
      <c r="L6" s="2468"/>
      <c r="M6" s="2468"/>
      <c r="O6" s="2300"/>
    </row>
    <row r="7" spans="2:20" ht="15.75">
      <c r="B7" s="2465"/>
      <c r="C7" s="2465"/>
      <c r="D7" s="2465"/>
      <c r="E7" s="2465"/>
      <c r="F7" s="2465"/>
      <c r="G7" s="2465"/>
      <c r="H7" s="2299"/>
      <c r="I7" s="2299"/>
      <c r="J7" s="2299"/>
      <c r="K7" s="2299"/>
      <c r="L7" s="2299"/>
      <c r="M7" s="2298" t="s">
        <v>96</v>
      </c>
    </row>
    <row r="8" spans="2:20" s="2295" customFormat="1" ht="15.75" customHeight="1">
      <c r="B8" s="2463" t="s">
        <v>1003</v>
      </c>
      <c r="C8" s="2463" t="s">
        <v>282</v>
      </c>
      <c r="D8" s="2463" t="s">
        <v>2748</v>
      </c>
      <c r="E8" s="2463"/>
      <c r="F8" s="2463"/>
      <c r="G8" s="2463" t="s">
        <v>2591</v>
      </c>
      <c r="H8" s="2463"/>
      <c r="I8" s="2463"/>
      <c r="J8" s="2463"/>
      <c r="K8" s="2463"/>
      <c r="L8" s="2463"/>
      <c r="M8" s="2463" t="s">
        <v>2592</v>
      </c>
      <c r="N8" s="2463"/>
      <c r="O8" s="2463"/>
      <c r="P8" s="2463"/>
      <c r="Q8" s="2463"/>
      <c r="R8" s="2463"/>
      <c r="S8" s="2463"/>
      <c r="T8" s="2463"/>
    </row>
    <row r="9" spans="2:20" s="2295" customFormat="1" ht="15.75">
      <c r="B9" s="2463"/>
      <c r="C9" s="2463"/>
      <c r="D9" s="2297" t="s">
        <v>1035</v>
      </c>
      <c r="E9" s="2296" t="s">
        <v>1036</v>
      </c>
      <c r="F9" s="2296" t="s">
        <v>2775</v>
      </c>
      <c r="G9" s="2297" t="s">
        <v>1035</v>
      </c>
      <c r="H9" s="2296" t="s">
        <v>1036</v>
      </c>
      <c r="I9" s="2296" t="s">
        <v>1047</v>
      </c>
      <c r="J9" s="2296" t="s">
        <v>2566</v>
      </c>
      <c r="K9" s="2296" t="s">
        <v>2508</v>
      </c>
      <c r="L9" s="2296" t="s">
        <v>2771</v>
      </c>
      <c r="M9" s="2296" t="s">
        <v>1040</v>
      </c>
      <c r="N9" s="2305"/>
      <c r="O9" s="2305"/>
      <c r="P9" s="2305"/>
      <c r="Q9" s="2305"/>
      <c r="R9" s="2305"/>
      <c r="S9" s="2305"/>
      <c r="T9" s="2296" t="s">
        <v>2771</v>
      </c>
    </row>
    <row r="10" spans="2:20" s="2295" customFormat="1" ht="15.75">
      <c r="B10" s="2296"/>
      <c r="C10" s="2296" t="s">
        <v>2553</v>
      </c>
      <c r="D10" s="2296"/>
      <c r="E10" s="2296"/>
      <c r="F10" s="2296"/>
      <c r="G10" s="2297">
        <v>1</v>
      </c>
      <c r="H10" s="2296">
        <v>2</v>
      </c>
      <c r="I10" s="2296">
        <v>3</v>
      </c>
      <c r="J10" s="2296">
        <v>4</v>
      </c>
      <c r="K10" s="2296"/>
      <c r="L10" s="2296"/>
      <c r="M10" s="2296"/>
      <c r="N10" s="2305"/>
      <c r="O10" s="2305"/>
      <c r="P10" s="2305"/>
      <c r="Q10" s="2305"/>
      <c r="R10" s="2305"/>
      <c r="S10" s="2305"/>
      <c r="T10" s="2296"/>
    </row>
    <row r="11" spans="2:20" ht="16.5" customHeight="1">
      <c r="B11" s="2282"/>
      <c r="C11" s="2285" t="s">
        <v>2788</v>
      </c>
      <c r="D11" s="2285"/>
      <c r="E11" s="2285"/>
      <c r="F11" s="2285"/>
      <c r="G11" s="2291"/>
      <c r="H11" s="2291"/>
      <c r="I11" s="2291"/>
      <c r="J11" s="2291"/>
      <c r="K11" s="2291"/>
      <c r="L11" s="2291"/>
      <c r="M11" s="2291"/>
      <c r="N11" s="2306"/>
      <c r="O11" s="2306"/>
      <c r="P11" s="2306"/>
      <c r="Q11" s="2306"/>
      <c r="R11" s="2306"/>
      <c r="S11" s="2306"/>
      <c r="T11" s="2291"/>
    </row>
    <row r="12" spans="2:20" ht="16.5" customHeight="1">
      <c r="B12" s="2307">
        <v>1</v>
      </c>
      <c r="C12" s="2282" t="s">
        <v>283</v>
      </c>
      <c r="D12" s="2281">
        <v>3.51</v>
      </c>
      <c r="E12" s="2288"/>
      <c r="F12" s="2281">
        <v>3.18</v>
      </c>
      <c r="G12" s="2294">
        <v>4.03</v>
      </c>
      <c r="H12" s="2279"/>
      <c r="I12" s="2280">
        <v>1.47</v>
      </c>
      <c r="J12" s="2279">
        <v>1.9999999999999998</v>
      </c>
      <c r="K12" s="2279">
        <f t="shared" ref="K12:K21" si="0">I12+J12</f>
        <v>3.4699999999999998</v>
      </c>
      <c r="L12" s="2279">
        <f>K12</f>
        <v>3.4699999999999998</v>
      </c>
      <c r="M12" s="2279">
        <v>3.96</v>
      </c>
      <c r="N12" s="2306"/>
      <c r="O12" s="2306"/>
      <c r="P12" s="2306"/>
      <c r="Q12" s="2306"/>
      <c r="R12" s="2306"/>
      <c r="S12" s="2306"/>
      <c r="T12" s="2279">
        <f>M12</f>
        <v>3.96</v>
      </c>
    </row>
    <row r="13" spans="2:20" ht="16.5" customHeight="1">
      <c r="B13" s="2307">
        <v>2</v>
      </c>
      <c r="C13" s="2282" t="s">
        <v>2787</v>
      </c>
      <c r="D13" s="2281">
        <v>0</v>
      </c>
      <c r="E13" s="2288"/>
      <c r="F13" s="2281">
        <v>0</v>
      </c>
      <c r="G13" s="2280">
        <v>0</v>
      </c>
      <c r="H13" s="2279"/>
      <c r="I13" s="2280">
        <v>0</v>
      </c>
      <c r="J13" s="2279">
        <v>0</v>
      </c>
      <c r="K13" s="2279">
        <f t="shared" si="0"/>
        <v>0</v>
      </c>
      <c r="L13" s="2279">
        <f t="shared" ref="L13:L21" si="1">K13</f>
        <v>0</v>
      </c>
      <c r="M13" s="2279">
        <v>0</v>
      </c>
      <c r="N13" s="2306"/>
      <c r="O13" s="2306"/>
      <c r="P13" s="2306"/>
      <c r="Q13" s="2306"/>
      <c r="R13" s="2306"/>
      <c r="S13" s="2306"/>
      <c r="T13" s="2279">
        <f t="shared" ref="T13:T21" si="2">M13</f>
        <v>0</v>
      </c>
    </row>
    <row r="14" spans="2:20" ht="16.5" customHeight="1">
      <c r="B14" s="2307">
        <v>3</v>
      </c>
      <c r="C14" s="2282" t="s">
        <v>284</v>
      </c>
      <c r="D14" s="2281">
        <v>1.83</v>
      </c>
      <c r="E14" s="2288"/>
      <c r="F14" s="2281">
        <v>1.78</v>
      </c>
      <c r="G14" s="2280">
        <v>2.1</v>
      </c>
      <c r="H14" s="2279"/>
      <c r="I14" s="2280">
        <v>0.95</v>
      </c>
      <c r="J14" s="2279">
        <v>1.55</v>
      </c>
      <c r="K14" s="2279">
        <f t="shared" si="0"/>
        <v>2.5</v>
      </c>
      <c r="L14" s="2279">
        <f t="shared" si="1"/>
        <v>2.5</v>
      </c>
      <c r="M14" s="2279">
        <v>3.45</v>
      </c>
      <c r="N14" s="2306"/>
      <c r="O14" s="2306"/>
      <c r="P14" s="2306"/>
      <c r="Q14" s="2306"/>
      <c r="R14" s="2306"/>
      <c r="S14" s="2306"/>
      <c r="T14" s="2279">
        <f t="shared" si="2"/>
        <v>3.45</v>
      </c>
    </row>
    <row r="15" spans="2:20" ht="16.5" customHeight="1">
      <c r="B15" s="2307">
        <v>4</v>
      </c>
      <c r="C15" s="2282" t="s">
        <v>2786</v>
      </c>
      <c r="D15" s="2281">
        <v>0.34</v>
      </c>
      <c r="E15" s="2288"/>
      <c r="F15" s="2281">
        <v>0.22</v>
      </c>
      <c r="G15" s="2280">
        <v>0.39</v>
      </c>
      <c r="H15" s="2279"/>
      <c r="I15" s="2280">
        <v>0.11</v>
      </c>
      <c r="J15" s="2279">
        <v>0.29000000000000004</v>
      </c>
      <c r="K15" s="2279">
        <f t="shared" si="0"/>
        <v>0.4</v>
      </c>
      <c r="L15" s="2279">
        <f t="shared" si="1"/>
        <v>0.4</v>
      </c>
      <c r="M15" s="2279">
        <v>0.45</v>
      </c>
      <c r="N15" s="2306"/>
      <c r="O15" s="2306"/>
      <c r="P15" s="2306"/>
      <c r="Q15" s="2306"/>
      <c r="R15" s="2306"/>
      <c r="S15" s="2306"/>
      <c r="T15" s="2279">
        <f t="shared" si="2"/>
        <v>0.45</v>
      </c>
    </row>
    <row r="16" spans="2:20" ht="16.5" customHeight="1">
      <c r="B16" s="2307">
        <v>5</v>
      </c>
      <c r="C16" s="2282" t="s">
        <v>2785</v>
      </c>
      <c r="D16" s="2281">
        <v>0.06</v>
      </c>
      <c r="E16" s="2288"/>
      <c r="F16" s="2281">
        <v>0.05</v>
      </c>
      <c r="G16" s="2280">
        <v>7.0000000000000007E-2</v>
      </c>
      <c r="H16" s="2279"/>
      <c r="I16" s="2280">
        <v>2.3E-2</v>
      </c>
      <c r="J16" s="2279">
        <v>3.6999999999999998E-2</v>
      </c>
      <c r="K16" s="2279">
        <f t="shared" si="0"/>
        <v>0.06</v>
      </c>
      <c r="L16" s="2279">
        <f t="shared" si="1"/>
        <v>0.06</v>
      </c>
      <c r="M16" s="2279">
        <v>7.0000000000000007E-2</v>
      </c>
      <c r="N16" s="2306"/>
      <c r="O16" s="2306"/>
      <c r="P16" s="2306"/>
      <c r="Q16" s="2306"/>
      <c r="R16" s="2306"/>
      <c r="S16" s="2306"/>
      <c r="T16" s="2279">
        <f t="shared" si="2"/>
        <v>7.0000000000000007E-2</v>
      </c>
    </row>
    <row r="17" spans="2:25" ht="16.5" customHeight="1">
      <c r="B17" s="2307">
        <v>6</v>
      </c>
      <c r="C17" s="2282" t="s">
        <v>285</v>
      </c>
      <c r="D17" s="2281">
        <v>0.01</v>
      </c>
      <c r="E17" s="2288"/>
      <c r="F17" s="2281">
        <v>8.6E-3</v>
      </c>
      <c r="G17" s="2280">
        <v>0.01</v>
      </c>
      <c r="H17" s="2279"/>
      <c r="I17" s="2280">
        <v>2.0000000000000001E-4</v>
      </c>
      <c r="J17" s="2291">
        <v>1.9800000000000002E-2</v>
      </c>
      <c r="K17" s="2279">
        <f t="shared" si="0"/>
        <v>0.02</v>
      </c>
      <c r="L17" s="2279">
        <f t="shared" si="1"/>
        <v>0.02</v>
      </c>
      <c r="M17" s="2291">
        <v>0.05</v>
      </c>
      <c r="N17" s="2306"/>
      <c r="O17" s="2306"/>
      <c r="P17" s="2306"/>
      <c r="Q17" s="2306"/>
      <c r="R17" s="2306"/>
      <c r="S17" s="2306"/>
      <c r="T17" s="2279">
        <f t="shared" si="2"/>
        <v>0.05</v>
      </c>
      <c r="Y17" s="2258" t="s">
        <v>426</v>
      </c>
    </row>
    <row r="18" spans="2:25" ht="16.5" customHeight="1">
      <c r="B18" s="2307">
        <v>7</v>
      </c>
      <c r="C18" s="2282" t="s">
        <v>286</v>
      </c>
      <c r="D18" s="2281">
        <v>0</v>
      </c>
      <c r="E18" s="2288"/>
      <c r="F18" s="2281">
        <v>0</v>
      </c>
      <c r="G18" s="2280">
        <v>0</v>
      </c>
      <c r="H18" s="2279"/>
      <c r="I18" s="2280">
        <v>0</v>
      </c>
      <c r="J18" s="2279">
        <v>0</v>
      </c>
      <c r="K18" s="2279">
        <f t="shared" si="0"/>
        <v>0</v>
      </c>
      <c r="L18" s="2279">
        <f t="shared" si="1"/>
        <v>0</v>
      </c>
      <c r="M18" s="2279">
        <v>0</v>
      </c>
      <c r="N18" s="2306"/>
      <c r="O18" s="2306"/>
      <c r="P18" s="2306"/>
      <c r="Q18" s="2306"/>
      <c r="R18" s="2306"/>
      <c r="S18" s="2306"/>
      <c r="T18" s="2279">
        <f t="shared" si="2"/>
        <v>0</v>
      </c>
    </row>
    <row r="19" spans="2:25" ht="16.5" customHeight="1">
      <c r="B19" s="2308">
        <v>8</v>
      </c>
      <c r="C19" s="2293" t="s">
        <v>2784</v>
      </c>
      <c r="D19" s="2281">
        <v>0.38</v>
      </c>
      <c r="E19" s="2292"/>
      <c r="F19" s="2281">
        <v>0.36499999999999999</v>
      </c>
      <c r="G19" s="2280">
        <v>0.43</v>
      </c>
      <c r="H19" s="2279"/>
      <c r="I19" s="2280">
        <v>0.17280000000000001</v>
      </c>
      <c r="J19" s="2279">
        <v>0.19719999999999999</v>
      </c>
      <c r="K19" s="2279">
        <f t="shared" si="0"/>
        <v>0.37</v>
      </c>
      <c r="L19" s="2279">
        <f t="shared" si="1"/>
        <v>0.37</v>
      </c>
      <c r="M19" s="2279">
        <v>0.4</v>
      </c>
      <c r="N19" s="2306"/>
      <c r="O19" s="2306"/>
      <c r="P19" s="2306"/>
      <c r="Q19" s="2306"/>
      <c r="R19" s="2306"/>
      <c r="S19" s="2306"/>
      <c r="T19" s="2279">
        <f t="shared" si="2"/>
        <v>0.4</v>
      </c>
    </row>
    <row r="20" spans="2:25" ht="16.5" customHeight="1">
      <c r="B20" s="2307">
        <v>9</v>
      </c>
      <c r="C20" s="2282" t="s">
        <v>2783</v>
      </c>
      <c r="D20" s="2281">
        <v>0.08</v>
      </c>
      <c r="E20" s="2288"/>
      <c r="F20" s="2281">
        <v>0</v>
      </c>
      <c r="G20" s="2280">
        <v>0.1</v>
      </c>
      <c r="H20" s="2279"/>
      <c r="I20" s="2280">
        <v>0</v>
      </c>
      <c r="J20" s="2279">
        <v>0</v>
      </c>
      <c r="K20" s="2279">
        <f t="shared" si="0"/>
        <v>0</v>
      </c>
      <c r="L20" s="2279">
        <f t="shared" si="1"/>
        <v>0</v>
      </c>
      <c r="M20" s="2279">
        <v>0</v>
      </c>
      <c r="N20" s="2306"/>
      <c r="O20" s="2306"/>
      <c r="P20" s="2306"/>
      <c r="Q20" s="2306"/>
      <c r="R20" s="2306"/>
      <c r="S20" s="2306"/>
      <c r="T20" s="2279">
        <f t="shared" si="2"/>
        <v>0</v>
      </c>
    </row>
    <row r="21" spans="2:25" ht="16.5" customHeight="1">
      <c r="B21" s="2307">
        <v>10</v>
      </c>
      <c r="C21" s="2282" t="s">
        <v>2782</v>
      </c>
      <c r="D21" s="2281">
        <v>0.04</v>
      </c>
      <c r="E21" s="2288"/>
      <c r="F21" s="2281">
        <v>0</v>
      </c>
      <c r="G21" s="2280">
        <v>0.05</v>
      </c>
      <c r="H21" s="2279"/>
      <c r="I21" s="2280">
        <v>0</v>
      </c>
      <c r="J21" s="2291">
        <v>0.02</v>
      </c>
      <c r="K21" s="2279">
        <f t="shared" si="0"/>
        <v>0.02</v>
      </c>
      <c r="L21" s="2279">
        <f t="shared" si="1"/>
        <v>0.02</v>
      </c>
      <c r="M21" s="2291">
        <v>0.03</v>
      </c>
      <c r="N21" s="2306"/>
      <c r="O21" s="2306"/>
      <c r="P21" s="2306"/>
      <c r="Q21" s="2306"/>
      <c r="R21" s="2306"/>
      <c r="S21" s="2306"/>
      <c r="T21" s="2279">
        <f t="shared" si="2"/>
        <v>0.03</v>
      </c>
    </row>
    <row r="22" spans="2:25" ht="16.5" customHeight="1">
      <c r="B22" s="2307">
        <v>11</v>
      </c>
      <c r="C22" s="2285" t="s">
        <v>1033</v>
      </c>
      <c r="D22" s="2283">
        <f>SUM(D12:D21)</f>
        <v>6.2499999999999991</v>
      </c>
      <c r="E22" s="2284">
        <v>2.74</v>
      </c>
      <c r="F22" s="2283">
        <f>SUM(F12:F21)</f>
        <v>5.6036000000000001</v>
      </c>
      <c r="G22" s="2283">
        <f>SUM(G12:G21)</f>
        <v>7.18</v>
      </c>
      <c r="H22" s="2286">
        <v>2.94</v>
      </c>
      <c r="I22" s="2283">
        <f>SUM(I12:I21)</f>
        <v>2.726</v>
      </c>
      <c r="J22" s="2283">
        <f>SUM(J12:J21)</f>
        <v>4.113999999999999</v>
      </c>
      <c r="K22" s="2283">
        <f>SUM(K12:K21)</f>
        <v>6.839999999999999</v>
      </c>
      <c r="L22" s="2283">
        <f>SUM(L12:L21)</f>
        <v>6.839999999999999</v>
      </c>
      <c r="M22" s="2283">
        <f>SUM(M12:M21)</f>
        <v>8.41</v>
      </c>
      <c r="N22" s="2306"/>
      <c r="O22" s="2306"/>
      <c r="P22" s="2306"/>
      <c r="Q22" s="2306"/>
      <c r="R22" s="2309"/>
      <c r="S22" s="2309"/>
      <c r="T22" s="2283">
        <f>SUM(T12:T21)</f>
        <v>8.41</v>
      </c>
    </row>
    <row r="23" spans="2:25" ht="16.5" customHeight="1">
      <c r="B23" s="2307"/>
      <c r="C23" s="2290" t="s">
        <v>288</v>
      </c>
      <c r="D23" s="2289"/>
      <c r="E23" s="2289"/>
      <c r="F23" s="2289"/>
      <c r="G23" s="2279"/>
      <c r="H23" s="2279"/>
      <c r="I23" s="2280"/>
      <c r="J23" s="2279"/>
      <c r="K23" s="2279"/>
      <c r="L23" s="2279"/>
      <c r="M23" s="2279"/>
      <c r="N23" s="2306"/>
      <c r="O23" s="2306"/>
      <c r="P23" s="2306"/>
      <c r="Q23" s="2306"/>
      <c r="R23" s="2306"/>
      <c r="S23" s="2306"/>
      <c r="T23" s="2279"/>
    </row>
    <row r="24" spans="2:25" ht="16.5" customHeight="1">
      <c r="B24" s="2307">
        <v>12</v>
      </c>
      <c r="C24" s="2282" t="s">
        <v>289</v>
      </c>
      <c r="D24" s="2281">
        <v>0.23</v>
      </c>
      <c r="E24" s="2281">
        <v>0.23</v>
      </c>
      <c r="F24" s="2281">
        <v>0</v>
      </c>
      <c r="G24" s="2280">
        <v>0.42</v>
      </c>
      <c r="H24" s="2280">
        <v>0.42</v>
      </c>
      <c r="I24" s="2280">
        <v>0.11</v>
      </c>
      <c r="J24" s="2280">
        <v>0.29000000000000004</v>
      </c>
      <c r="K24" s="2279">
        <f t="shared" ref="K24:K29" si="3">I24+J24</f>
        <v>0.4</v>
      </c>
      <c r="L24" s="2279"/>
      <c r="M24" s="2280">
        <v>0.4</v>
      </c>
      <c r="N24" s="2306"/>
      <c r="O24" s="2306"/>
      <c r="P24" s="2306"/>
      <c r="Q24" s="2306"/>
      <c r="R24" s="2306"/>
      <c r="S24" s="2306"/>
      <c r="T24" s="2279"/>
    </row>
    <row r="25" spans="2:25" ht="16.5" customHeight="1">
      <c r="B25" s="2307">
        <v>13</v>
      </c>
      <c r="C25" s="2282" t="s">
        <v>290</v>
      </c>
      <c r="D25" s="2281">
        <v>0.37</v>
      </c>
      <c r="E25" s="2281">
        <v>0.37</v>
      </c>
      <c r="F25" s="2281">
        <v>0</v>
      </c>
      <c r="G25" s="2280">
        <v>0.59</v>
      </c>
      <c r="H25" s="2280">
        <v>0.59</v>
      </c>
      <c r="I25" s="2280">
        <v>0.17</v>
      </c>
      <c r="J25" s="2280">
        <v>0.39999999999999991</v>
      </c>
      <c r="K25" s="2279">
        <f t="shared" si="3"/>
        <v>0.56999999999999995</v>
      </c>
      <c r="L25" s="2279"/>
      <c r="M25" s="2280">
        <v>0.52</v>
      </c>
      <c r="N25" s="2306"/>
      <c r="O25" s="2306"/>
      <c r="P25" s="2306"/>
      <c r="Q25" s="2306"/>
      <c r="R25" s="2306"/>
      <c r="S25" s="2306"/>
      <c r="T25" s="2279"/>
    </row>
    <row r="26" spans="2:25" ht="16.5" customHeight="1">
      <c r="B26" s="2307">
        <v>14</v>
      </c>
      <c r="C26" s="2282" t="s">
        <v>2781</v>
      </c>
      <c r="D26" s="2281">
        <v>0</v>
      </c>
      <c r="E26" s="2288"/>
      <c r="F26" s="2281">
        <v>0</v>
      </c>
      <c r="G26" s="2280">
        <v>0</v>
      </c>
      <c r="H26" s="2280">
        <v>0</v>
      </c>
      <c r="I26" s="2280">
        <v>7.0000000000000007E-2</v>
      </c>
      <c r="J26" s="2280">
        <v>0.41</v>
      </c>
      <c r="K26" s="2279">
        <f t="shared" si="3"/>
        <v>0.48</v>
      </c>
      <c r="L26" s="2279"/>
      <c r="M26" s="2280">
        <v>0.47</v>
      </c>
      <c r="N26" s="2306"/>
      <c r="O26" s="2306"/>
      <c r="P26" s="2306"/>
      <c r="Q26" s="2306"/>
      <c r="R26" s="2306"/>
      <c r="S26" s="2306"/>
      <c r="T26" s="2279"/>
    </row>
    <row r="27" spans="2:25" ht="16.5" hidden="1" customHeight="1">
      <c r="B27" s="2307">
        <v>15</v>
      </c>
      <c r="C27" s="2282" t="s">
        <v>291</v>
      </c>
      <c r="D27" s="2288"/>
      <c r="E27" s="2288"/>
      <c r="F27" s="2281">
        <v>0</v>
      </c>
      <c r="G27" s="2280">
        <v>0</v>
      </c>
      <c r="H27" s="2280">
        <v>0</v>
      </c>
      <c r="I27" s="2280">
        <v>0</v>
      </c>
      <c r="J27" s="2280">
        <v>0</v>
      </c>
      <c r="K27" s="2279">
        <f t="shared" si="3"/>
        <v>0</v>
      </c>
      <c r="L27" s="2279"/>
      <c r="M27" s="2280">
        <v>0</v>
      </c>
      <c r="N27" s="2306"/>
      <c r="O27" s="2306"/>
      <c r="P27" s="2310"/>
      <c r="Q27" s="2306"/>
      <c r="R27" s="2306"/>
      <c r="S27" s="2306"/>
      <c r="T27" s="2279"/>
    </row>
    <row r="28" spans="2:25" ht="16.5" hidden="1" customHeight="1">
      <c r="B28" s="2307">
        <v>16</v>
      </c>
      <c r="C28" s="2282" t="s">
        <v>2780</v>
      </c>
      <c r="D28" s="2288"/>
      <c r="E28" s="2288"/>
      <c r="F28" s="2281">
        <v>0</v>
      </c>
      <c r="G28" s="2280">
        <v>0</v>
      </c>
      <c r="H28" s="2280">
        <v>0</v>
      </c>
      <c r="I28" s="2280">
        <v>0</v>
      </c>
      <c r="J28" s="2280">
        <v>0</v>
      </c>
      <c r="K28" s="2279">
        <f t="shared" si="3"/>
        <v>0</v>
      </c>
      <c r="L28" s="2279"/>
      <c r="M28" s="2280">
        <v>0</v>
      </c>
      <c r="N28" s="2306"/>
      <c r="O28" s="2306"/>
      <c r="P28" s="2306"/>
      <c r="Q28" s="2306"/>
      <c r="R28" s="2306"/>
      <c r="S28" s="2306"/>
      <c r="T28" s="2279"/>
    </row>
    <row r="29" spans="2:25" ht="16.5" customHeight="1">
      <c r="B29" s="2307">
        <v>15</v>
      </c>
      <c r="C29" s="2285" t="s">
        <v>1033</v>
      </c>
      <c r="D29" s="2283">
        <f t="shared" ref="D29:J29" si="4">SUM(D24:D28)</f>
        <v>0.6</v>
      </c>
      <c r="E29" s="2283">
        <f t="shared" si="4"/>
        <v>0.6</v>
      </c>
      <c r="F29" s="2283">
        <f t="shared" si="4"/>
        <v>0</v>
      </c>
      <c r="G29" s="2283">
        <f t="shared" si="4"/>
        <v>1.01</v>
      </c>
      <c r="H29" s="2286">
        <f t="shared" si="4"/>
        <v>1.01</v>
      </c>
      <c r="I29" s="2283">
        <f t="shared" si="4"/>
        <v>0.35000000000000003</v>
      </c>
      <c r="J29" s="2283">
        <f t="shared" si="4"/>
        <v>1.0999999999999999</v>
      </c>
      <c r="K29" s="2283">
        <f t="shared" si="3"/>
        <v>1.45</v>
      </c>
      <c r="L29" s="2283">
        <f>SUM(L24:L26)</f>
        <v>0</v>
      </c>
      <c r="M29" s="2283">
        <f>SUM(M24:M28)</f>
        <v>1.3900000000000001</v>
      </c>
      <c r="N29" s="2306"/>
      <c r="O29" s="2311"/>
      <c r="P29" s="2306"/>
      <c r="Q29" s="2311"/>
      <c r="R29" s="2306"/>
      <c r="S29" s="2306"/>
      <c r="T29" s="2283">
        <f>SUM(T24:T26)</f>
        <v>0</v>
      </c>
    </row>
    <row r="30" spans="2:25" ht="16.5" customHeight="1">
      <c r="B30" s="2307"/>
      <c r="C30" s="2285" t="s">
        <v>292</v>
      </c>
      <c r="D30" s="2289"/>
      <c r="E30" s="2289"/>
      <c r="F30" s="2289"/>
      <c r="G30" s="2279"/>
      <c r="H30" s="2279"/>
      <c r="I30" s="2279"/>
      <c r="J30" s="2279"/>
      <c r="K30" s="2279"/>
      <c r="L30" s="2279"/>
      <c r="M30" s="2279"/>
      <c r="N30" s="2306"/>
      <c r="O30" s="2306"/>
      <c r="P30" s="2306"/>
      <c r="Q30" s="2306"/>
      <c r="R30" s="2306"/>
      <c r="S30" s="2306"/>
      <c r="T30" s="2279"/>
    </row>
    <row r="31" spans="2:25" ht="16.5" customHeight="1">
      <c r="B31" s="2307">
        <v>16</v>
      </c>
      <c r="C31" s="2282" t="s">
        <v>293</v>
      </c>
      <c r="D31" s="2281">
        <v>0.02</v>
      </c>
      <c r="E31" s="2281">
        <v>0.02</v>
      </c>
      <c r="F31" s="2281">
        <v>0</v>
      </c>
      <c r="G31" s="2280">
        <v>0.02</v>
      </c>
      <c r="H31" s="2280">
        <v>0.02</v>
      </c>
      <c r="I31" s="2280">
        <v>0.02</v>
      </c>
      <c r="J31" s="2280">
        <v>0.05</v>
      </c>
      <c r="K31" s="2279">
        <f t="shared" ref="K31:K37" si="5">I31+J31</f>
        <v>7.0000000000000007E-2</v>
      </c>
      <c r="L31" s="2279"/>
      <c r="M31" s="2280">
        <v>0.09</v>
      </c>
      <c r="N31" s="2306"/>
      <c r="O31" s="2306"/>
      <c r="P31" s="2306"/>
      <c r="Q31" s="2306"/>
      <c r="R31" s="2306"/>
      <c r="S31" s="2306"/>
      <c r="T31" s="2279"/>
    </row>
    <row r="32" spans="2:25" ht="16.5" customHeight="1">
      <c r="B32" s="2307">
        <v>17</v>
      </c>
      <c r="C32" s="2282" t="s">
        <v>2779</v>
      </c>
      <c r="D32" s="2281">
        <v>0.01</v>
      </c>
      <c r="E32" s="2281">
        <v>0.01</v>
      </c>
      <c r="F32" s="2281">
        <v>0</v>
      </c>
      <c r="G32" s="2280">
        <v>0.02</v>
      </c>
      <c r="H32" s="2280">
        <v>0.02</v>
      </c>
      <c r="I32" s="2280">
        <v>0</v>
      </c>
      <c r="J32" s="2280">
        <v>0</v>
      </c>
      <c r="K32" s="2279">
        <f t="shared" si="5"/>
        <v>0</v>
      </c>
      <c r="L32" s="2279"/>
      <c r="M32" s="2280">
        <v>0</v>
      </c>
      <c r="N32" s="2306"/>
      <c r="O32" s="2306"/>
      <c r="P32" s="2306"/>
      <c r="Q32" s="2306"/>
      <c r="R32" s="2306"/>
      <c r="S32" s="2306"/>
      <c r="T32" s="2279"/>
    </row>
    <row r="33" spans="2:20" ht="16.5" customHeight="1">
      <c r="B33" s="2307">
        <v>18</v>
      </c>
      <c r="C33" s="2282" t="s">
        <v>284</v>
      </c>
      <c r="D33" s="2281">
        <v>0</v>
      </c>
      <c r="E33" s="2288"/>
      <c r="F33" s="2281">
        <v>0</v>
      </c>
      <c r="G33" s="2280">
        <v>0</v>
      </c>
      <c r="H33" s="2280">
        <v>0</v>
      </c>
      <c r="I33" s="2280">
        <v>0</v>
      </c>
      <c r="J33" s="2280">
        <v>0</v>
      </c>
      <c r="K33" s="2279">
        <f t="shared" si="5"/>
        <v>0</v>
      </c>
      <c r="L33" s="2279"/>
      <c r="M33" s="2280">
        <v>0</v>
      </c>
      <c r="N33" s="2306"/>
      <c r="O33" s="2306"/>
      <c r="P33" s="2306"/>
      <c r="Q33" s="2306"/>
      <c r="R33" s="2306"/>
      <c r="S33" s="2306"/>
      <c r="T33" s="2279"/>
    </row>
    <row r="34" spans="2:20" ht="16.5" customHeight="1">
      <c r="B34" s="2307">
        <v>19</v>
      </c>
      <c r="C34" s="2282" t="s">
        <v>2754</v>
      </c>
      <c r="D34" s="2281">
        <v>0</v>
      </c>
      <c r="E34" s="2288"/>
      <c r="F34" s="2281">
        <v>0</v>
      </c>
      <c r="G34" s="2280">
        <v>0.01</v>
      </c>
      <c r="H34" s="2280">
        <v>0.01</v>
      </c>
      <c r="I34" s="2280">
        <v>1E-3</v>
      </c>
      <c r="J34" s="2280">
        <v>2E-3</v>
      </c>
      <c r="K34" s="2279">
        <f t="shared" si="5"/>
        <v>3.0000000000000001E-3</v>
      </c>
      <c r="L34" s="2279"/>
      <c r="M34" s="2280">
        <v>4.0000000000000001E-3</v>
      </c>
      <c r="N34" s="2306"/>
      <c r="O34" s="2306"/>
      <c r="P34" s="2306"/>
      <c r="Q34" s="2306"/>
      <c r="R34" s="2306"/>
      <c r="S34" s="2306"/>
      <c r="T34" s="2279"/>
    </row>
    <row r="35" spans="2:20" ht="16.5" customHeight="1">
      <c r="B35" s="2307">
        <v>20</v>
      </c>
      <c r="C35" s="2285" t="s">
        <v>1033</v>
      </c>
      <c r="D35" s="2287">
        <f t="shared" ref="D35:J35" si="6">SUM(D31:D34)</f>
        <v>0.03</v>
      </c>
      <c r="E35" s="2287">
        <f t="shared" si="6"/>
        <v>0.03</v>
      </c>
      <c r="F35" s="2287">
        <f t="shared" si="6"/>
        <v>0</v>
      </c>
      <c r="G35" s="2287">
        <f t="shared" si="6"/>
        <v>0.05</v>
      </c>
      <c r="H35" s="2286">
        <f t="shared" si="6"/>
        <v>0.05</v>
      </c>
      <c r="I35" s="2283">
        <f t="shared" si="6"/>
        <v>2.1000000000000001E-2</v>
      </c>
      <c r="J35" s="2283">
        <f t="shared" si="6"/>
        <v>5.2000000000000005E-2</v>
      </c>
      <c r="K35" s="2283">
        <f t="shared" si="5"/>
        <v>7.3000000000000009E-2</v>
      </c>
      <c r="L35" s="2283">
        <f>SUM(L31:L34)</f>
        <v>0</v>
      </c>
      <c r="M35" s="2283">
        <f>SUM(M31:M34)</f>
        <v>9.4E-2</v>
      </c>
      <c r="N35" s="2306"/>
      <c r="O35" s="2309"/>
      <c r="P35" s="2309"/>
      <c r="Q35" s="2309"/>
      <c r="R35" s="2309"/>
      <c r="S35" s="2309"/>
      <c r="T35" s="2283">
        <f>SUM(T31:T34)</f>
        <v>0</v>
      </c>
    </row>
    <row r="36" spans="2:20" ht="16.5" customHeight="1">
      <c r="B36" s="2307">
        <v>21</v>
      </c>
      <c r="C36" s="2285" t="s">
        <v>2298</v>
      </c>
      <c r="D36" s="2287">
        <f>SUM(D22+D35+D29)</f>
        <v>6.879999999999999</v>
      </c>
      <c r="E36" s="2287">
        <f>SUM(E22+E35+E29)</f>
        <v>3.37</v>
      </c>
      <c r="F36" s="2287">
        <f>SUM(F22+F35+F29)</f>
        <v>5.6036000000000001</v>
      </c>
      <c r="G36" s="2287">
        <f>SUM(G22+G35+G29)</f>
        <v>8.24</v>
      </c>
      <c r="H36" s="2286">
        <f>H22+H29+H35</f>
        <v>4</v>
      </c>
      <c r="I36" s="2283">
        <f>I22+I29+I35</f>
        <v>3.097</v>
      </c>
      <c r="J36" s="2283">
        <f>J22+J29+J35</f>
        <v>5.2659999999999982</v>
      </c>
      <c r="K36" s="2283">
        <f t="shared" si="5"/>
        <v>8.3629999999999978</v>
      </c>
      <c r="L36" s="2283">
        <f>SUM(L35,L29,L22)</f>
        <v>6.839999999999999</v>
      </c>
      <c r="M36" s="2283">
        <f>M22+M29+M35</f>
        <v>9.8940000000000001</v>
      </c>
      <c r="N36" s="2306"/>
      <c r="O36" s="2306"/>
      <c r="P36" s="2306"/>
      <c r="Q36" s="2306"/>
      <c r="R36" s="2306"/>
      <c r="S36" s="2306"/>
      <c r="T36" s="2283">
        <f>SUM(T35,T29,T22)</f>
        <v>8.41</v>
      </c>
    </row>
    <row r="37" spans="2:20" ht="16.5" customHeight="1">
      <c r="B37" s="2307">
        <v>22</v>
      </c>
      <c r="C37" s="2282" t="s">
        <v>294</v>
      </c>
      <c r="D37" s="2281">
        <v>0</v>
      </c>
      <c r="E37" s="2281">
        <v>0</v>
      </c>
      <c r="F37" s="2281">
        <v>0</v>
      </c>
      <c r="G37" s="2279">
        <v>0</v>
      </c>
      <c r="H37" s="2280">
        <v>0</v>
      </c>
      <c r="I37" s="2279">
        <v>0</v>
      </c>
      <c r="J37" s="2279"/>
      <c r="K37" s="2279">
        <f t="shared" si="5"/>
        <v>0</v>
      </c>
      <c r="L37" s="2279"/>
      <c r="M37" s="2279"/>
      <c r="N37" s="2306"/>
      <c r="O37" s="2306"/>
      <c r="P37" s="2306"/>
      <c r="Q37" s="2306"/>
      <c r="R37" s="2306"/>
      <c r="S37" s="2306"/>
      <c r="T37" s="2279"/>
    </row>
    <row r="38" spans="2:20" ht="16.5" customHeight="1">
      <c r="B38" s="2312">
        <v>23</v>
      </c>
      <c r="C38" s="2285" t="s">
        <v>2683</v>
      </c>
      <c r="D38" s="2284">
        <v>0</v>
      </c>
      <c r="E38" s="2284">
        <v>0</v>
      </c>
      <c r="F38" s="2284">
        <v>0</v>
      </c>
      <c r="G38" s="2283">
        <f t="shared" ref="G38:M38" si="7">G36-G37</f>
        <v>8.24</v>
      </c>
      <c r="H38" s="2283">
        <f t="shared" si="7"/>
        <v>4</v>
      </c>
      <c r="I38" s="2283">
        <f t="shared" si="7"/>
        <v>3.097</v>
      </c>
      <c r="J38" s="2283">
        <f t="shared" si="7"/>
        <v>5.2659999999999982</v>
      </c>
      <c r="K38" s="2283">
        <f t="shared" si="7"/>
        <v>8.3629999999999978</v>
      </c>
      <c r="L38" s="2283">
        <f t="shared" si="7"/>
        <v>6.839999999999999</v>
      </c>
      <c r="M38" s="2283">
        <f t="shared" si="7"/>
        <v>9.8940000000000001</v>
      </c>
      <c r="N38" s="2306"/>
      <c r="O38" s="2306"/>
      <c r="P38" s="2306"/>
      <c r="Q38" s="2306"/>
      <c r="R38" s="2306"/>
      <c r="S38" s="2306"/>
      <c r="T38" s="2283">
        <f>T36-T37</f>
        <v>8.41</v>
      </c>
    </row>
    <row r="39" spans="2:20" ht="16.5" hidden="1" customHeight="1">
      <c r="B39" s="2307">
        <v>26</v>
      </c>
      <c r="C39" s="2282" t="s">
        <v>2778</v>
      </c>
      <c r="D39" s="2281">
        <v>0</v>
      </c>
      <c r="E39" s="2281">
        <v>0</v>
      </c>
      <c r="F39" s="2281">
        <v>0</v>
      </c>
      <c r="G39" s="2279">
        <v>0</v>
      </c>
      <c r="H39" s="2280">
        <v>0</v>
      </c>
      <c r="I39" s="2279">
        <v>0</v>
      </c>
      <c r="J39" s="2279">
        <v>0</v>
      </c>
      <c r="K39" s="2279">
        <f>I39+J39</f>
        <v>0</v>
      </c>
      <c r="L39" s="2279"/>
      <c r="M39" s="2279">
        <v>0</v>
      </c>
      <c r="N39" s="2306"/>
      <c r="O39" s="2306"/>
      <c r="P39" s="2306"/>
      <c r="Q39" s="2306"/>
      <c r="R39" s="2306"/>
      <c r="S39" s="2306"/>
      <c r="T39" s="2279"/>
    </row>
    <row r="40" spans="2:20" ht="16.5" customHeight="1">
      <c r="B40" s="2307">
        <v>24</v>
      </c>
      <c r="C40" s="2282" t="s">
        <v>2777</v>
      </c>
      <c r="D40" s="2281">
        <v>0.86</v>
      </c>
      <c r="E40" s="2281">
        <v>0.71</v>
      </c>
      <c r="F40" s="2281">
        <v>0.88</v>
      </c>
      <c r="G40" s="2279">
        <v>0.65</v>
      </c>
      <c r="H40" s="2280">
        <v>0.54</v>
      </c>
      <c r="I40" s="2279">
        <v>0</v>
      </c>
      <c r="J40" s="2279">
        <v>0.65</v>
      </c>
      <c r="K40" s="2279">
        <f>I40+J40</f>
        <v>0.65</v>
      </c>
      <c r="L40" s="2279">
        <f>K40</f>
        <v>0.65</v>
      </c>
      <c r="M40" s="2279">
        <v>0.65</v>
      </c>
      <c r="N40" s="2306"/>
      <c r="O40" s="2306"/>
      <c r="P40" s="2306"/>
      <c r="Q40" s="2306"/>
      <c r="R40" s="2306"/>
      <c r="S40" s="2306"/>
      <c r="T40" s="2279">
        <f>M40</f>
        <v>0.65</v>
      </c>
    </row>
    <row r="41" spans="2:20" ht="16.5" customHeight="1">
      <c r="B41" s="2307">
        <v>25</v>
      </c>
      <c r="C41" s="2285" t="s">
        <v>2776</v>
      </c>
      <c r="D41" s="2283">
        <f>SUM(D36:D40)</f>
        <v>7.7399999999999993</v>
      </c>
      <c r="E41" s="2283">
        <f>SUM(E36:E40)</f>
        <v>4.08</v>
      </c>
      <c r="F41" s="2283">
        <f>SUM(F36:F40)</f>
        <v>6.4836</v>
      </c>
      <c r="G41" s="2283">
        <f>G38+G39+G40</f>
        <v>8.89</v>
      </c>
      <c r="H41" s="2283">
        <f>H38+H39+H40</f>
        <v>4.54</v>
      </c>
      <c r="I41" s="2283">
        <f>I38+I39+I40</f>
        <v>3.097</v>
      </c>
      <c r="J41" s="2283">
        <f>J38+J39+J40</f>
        <v>5.9159999999999986</v>
      </c>
      <c r="K41" s="2283">
        <f>K38+K39+K40</f>
        <v>9.0129999999999981</v>
      </c>
      <c r="L41" s="2283">
        <f>SUM(L38:L40)</f>
        <v>7.4899999999999993</v>
      </c>
      <c r="M41" s="2283">
        <f>M38+M39+M40</f>
        <v>10.544</v>
      </c>
      <c r="N41" s="2306"/>
      <c r="O41" s="2306"/>
      <c r="P41" s="2306"/>
      <c r="Q41" s="2306"/>
      <c r="R41" s="2306"/>
      <c r="S41" s="2306"/>
      <c r="T41" s="2283">
        <f>SUM(T38:T40)</f>
        <v>9.06</v>
      </c>
    </row>
    <row r="42" spans="2:20" ht="15" customHeight="1">
      <c r="J42" s="2278"/>
      <c r="K42" s="2278"/>
      <c r="L42" s="2278"/>
      <c r="M42" s="2278"/>
    </row>
    <row r="43" spans="2:20" ht="15.75"/>
    <row r="44" spans="2:20" ht="15.75" hidden="1">
      <c r="B44" s="2453" t="s">
        <v>1003</v>
      </c>
      <c r="C44" s="2455" t="s">
        <v>331</v>
      </c>
      <c r="D44" s="2457" t="s">
        <v>2748</v>
      </c>
      <c r="E44" s="2458"/>
      <c r="F44" s="2459"/>
      <c r="G44" s="2460" t="s">
        <v>2601</v>
      </c>
      <c r="H44" s="2461"/>
      <c r="I44" s="2461"/>
      <c r="J44" s="2462"/>
      <c r="K44" s="2277" t="s">
        <v>2590</v>
      </c>
      <c r="L44" s="2301"/>
    </row>
    <row r="45" spans="2:20" ht="15" hidden="1" customHeight="1" thickBot="1">
      <c r="B45" s="2454"/>
      <c r="C45" s="2456"/>
      <c r="D45" s="2276" t="s">
        <v>1035</v>
      </c>
      <c r="E45" s="2275" t="s">
        <v>1036</v>
      </c>
      <c r="F45" s="2274" t="s">
        <v>2775</v>
      </c>
      <c r="G45" s="2273" t="s">
        <v>1036</v>
      </c>
      <c r="H45" s="2272" t="s">
        <v>1943</v>
      </c>
      <c r="I45" s="2272" t="s">
        <v>2774</v>
      </c>
      <c r="J45" s="2271" t="s">
        <v>1942</v>
      </c>
      <c r="K45" s="2270" t="s">
        <v>1040</v>
      </c>
      <c r="L45" s="2302"/>
    </row>
    <row r="46" spans="2:20" ht="15" hidden="1" customHeight="1">
      <c r="B46" s="2269">
        <v>1</v>
      </c>
      <c r="C46" s="2268" t="s">
        <v>288</v>
      </c>
      <c r="D46" s="2264">
        <v>0</v>
      </c>
      <c r="E46" s="2264">
        <v>0</v>
      </c>
      <c r="F46" s="2264">
        <v>0</v>
      </c>
      <c r="G46" s="2264">
        <f>H29</f>
        <v>1.01</v>
      </c>
      <c r="H46" s="2264">
        <f>I29</f>
        <v>0.35000000000000003</v>
      </c>
      <c r="I46" s="2264">
        <f>J29</f>
        <v>1.0999999999999999</v>
      </c>
      <c r="J46" s="2264">
        <f>K29</f>
        <v>1.45</v>
      </c>
      <c r="K46" s="2264">
        <f>M29</f>
        <v>1.3900000000000001</v>
      </c>
      <c r="L46" s="2303"/>
    </row>
    <row r="47" spans="2:20" ht="15" hidden="1" customHeight="1">
      <c r="B47" s="2266">
        <v>2</v>
      </c>
      <c r="C47" s="2265" t="s">
        <v>1945</v>
      </c>
      <c r="D47" s="2264">
        <v>0</v>
      </c>
      <c r="E47" s="2264">
        <v>0</v>
      </c>
      <c r="F47" s="2264">
        <v>0</v>
      </c>
      <c r="G47" s="2264">
        <f>H40</f>
        <v>0.54</v>
      </c>
      <c r="H47" s="2264">
        <f>I40</f>
        <v>0</v>
      </c>
      <c r="I47" s="2264">
        <f>J40</f>
        <v>0.65</v>
      </c>
      <c r="J47" s="2264">
        <f>K40</f>
        <v>0.65</v>
      </c>
      <c r="K47" s="2264">
        <f>M40</f>
        <v>0.65</v>
      </c>
      <c r="L47" s="2303"/>
    </row>
    <row r="48" spans="2:20" ht="15" hidden="1" customHeight="1">
      <c r="B48" s="2266">
        <v>3</v>
      </c>
      <c r="C48" s="2267" t="s">
        <v>1948</v>
      </c>
      <c r="D48" s="2264">
        <v>0</v>
      </c>
      <c r="E48" s="2264">
        <v>0</v>
      </c>
      <c r="F48" s="2264">
        <v>0</v>
      </c>
      <c r="G48" s="2264">
        <f>H22+H35</f>
        <v>2.9899999999999998</v>
      </c>
      <c r="H48" s="2264">
        <f>I22+I35</f>
        <v>2.7469999999999999</v>
      </c>
      <c r="I48" s="2264">
        <f>J22+J35</f>
        <v>4.1659999999999986</v>
      </c>
      <c r="J48" s="2264">
        <f>K22+K35</f>
        <v>6.9129999999999994</v>
      </c>
      <c r="K48" s="2264">
        <f>M22+M35</f>
        <v>8.5039999999999996</v>
      </c>
      <c r="L48" s="2303"/>
    </row>
    <row r="49" spans="2:12" ht="15" hidden="1" customHeight="1">
      <c r="B49" s="2266" t="s">
        <v>163</v>
      </c>
      <c r="C49" s="2267" t="s">
        <v>1949</v>
      </c>
      <c r="D49" s="2264">
        <v>0</v>
      </c>
      <c r="E49" s="2264">
        <v>0</v>
      </c>
      <c r="F49" s="2264">
        <v>0</v>
      </c>
      <c r="G49" s="2264">
        <f>SUM(G46:G48)</f>
        <v>4.54</v>
      </c>
      <c r="H49" s="2264">
        <f>SUM(H46:H48)</f>
        <v>3.097</v>
      </c>
      <c r="I49" s="2264">
        <f>SUM(I46:I48)</f>
        <v>5.9159999999999986</v>
      </c>
      <c r="J49" s="2264">
        <f>SUM(J46:J48)</f>
        <v>9.0129999999999999</v>
      </c>
      <c r="K49" s="2264">
        <f>SUM(K46:K48)</f>
        <v>10.544</v>
      </c>
      <c r="L49" s="2303"/>
    </row>
    <row r="50" spans="2:12" ht="15" hidden="1" customHeight="1">
      <c r="B50" s="2266" t="s">
        <v>164</v>
      </c>
      <c r="C50" s="2267" t="s">
        <v>1750</v>
      </c>
      <c r="D50" s="2264">
        <v>0</v>
      </c>
      <c r="E50" s="2264">
        <v>0</v>
      </c>
      <c r="F50" s="2264">
        <v>0</v>
      </c>
      <c r="G50" s="2264">
        <f>H37</f>
        <v>0</v>
      </c>
      <c r="H50" s="2264">
        <f>I37</f>
        <v>0</v>
      </c>
      <c r="I50" s="2264">
        <f>J37</f>
        <v>0</v>
      </c>
      <c r="J50" s="2264">
        <f>K37</f>
        <v>0</v>
      </c>
      <c r="K50" s="2264">
        <f>M37</f>
        <v>0</v>
      </c>
      <c r="L50" s="2303"/>
    </row>
    <row r="51" spans="2:12" ht="15" hidden="1" customHeight="1">
      <c r="B51" s="2266">
        <v>4</v>
      </c>
      <c r="C51" s="2265" t="s">
        <v>1947</v>
      </c>
      <c r="D51" s="2264">
        <v>0</v>
      </c>
      <c r="E51" s="2264">
        <v>0</v>
      </c>
      <c r="F51" s="2264">
        <v>0</v>
      </c>
      <c r="G51" s="2264">
        <v>0</v>
      </c>
      <c r="H51" s="2264">
        <v>0</v>
      </c>
      <c r="I51" s="2264">
        <v>0</v>
      </c>
      <c r="J51" s="2264">
        <f>H51+I51</f>
        <v>0</v>
      </c>
      <c r="K51" s="2264">
        <v>0</v>
      </c>
      <c r="L51" s="2303"/>
    </row>
    <row r="52" spans="2:12" ht="15" hidden="1" customHeight="1" thickBot="1">
      <c r="B52" s="2263">
        <v>5</v>
      </c>
      <c r="C52" s="2262" t="s">
        <v>1946</v>
      </c>
      <c r="D52" s="2261">
        <f t="shared" ref="D52:K52" si="8">SUM(D46:D48)</f>
        <v>0</v>
      </c>
      <c r="E52" s="2261">
        <f t="shared" si="8"/>
        <v>0</v>
      </c>
      <c r="F52" s="2261">
        <f t="shared" si="8"/>
        <v>0</v>
      </c>
      <c r="G52" s="2259">
        <f t="shared" si="8"/>
        <v>4.54</v>
      </c>
      <c r="H52" s="2259">
        <f t="shared" si="8"/>
        <v>3.097</v>
      </c>
      <c r="I52" s="2259">
        <f t="shared" si="8"/>
        <v>5.9159999999999986</v>
      </c>
      <c r="J52" s="2260">
        <f t="shared" si="8"/>
        <v>9.0129999999999999</v>
      </c>
      <c r="K52" s="2259">
        <f t="shared" si="8"/>
        <v>10.544</v>
      </c>
      <c r="L52" s="2304"/>
    </row>
  </sheetData>
  <sheetProtection selectLockedCells="1" selectUnlockedCells="1"/>
  <mergeCells count="16">
    <mergeCell ref="M8:T8"/>
    <mergeCell ref="B4:T4"/>
    <mergeCell ref="B7:G7"/>
    <mergeCell ref="B1:M1"/>
    <mergeCell ref="B2:M2"/>
    <mergeCell ref="B5:M5"/>
    <mergeCell ref="B6:M6"/>
    <mergeCell ref="B8:B9"/>
    <mergeCell ref="C8:C9"/>
    <mergeCell ref="D8:F8"/>
    <mergeCell ref="M3:T3"/>
    <mergeCell ref="B44:B45"/>
    <mergeCell ref="C44:C45"/>
    <mergeCell ref="D44:F44"/>
    <mergeCell ref="G44:J44"/>
    <mergeCell ref="G8:L8"/>
  </mergeCells>
  <printOptions horizontalCentered="1"/>
  <pageMargins left="0.7" right="0.7" top="0.75" bottom="0.75" header="0.3" footer="0.3"/>
  <pageSetup paperSize="9" scale="80" firstPageNumber="3" orientation="landscape" useFirstPageNumber="1" r:id="rId1"/>
  <headerFooter alignWithMargins="0">
    <oddFooter>&amp;R&amp;P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view="pageBreakPreview" zoomScale="70" zoomScaleSheetLayoutView="70" workbookViewId="0">
      <selection activeCell="O13" sqref="O13"/>
    </sheetView>
  </sheetViews>
  <sheetFormatPr defaultRowHeight="15.75"/>
  <cols>
    <col min="1" max="1" width="9.140625" style="1872"/>
    <col min="2" max="2" width="68.5703125" style="1872" customWidth="1"/>
    <col min="3" max="5" width="27.85546875" style="1872" hidden="1" customWidth="1"/>
    <col min="6" max="6" width="17.5703125" style="1872" hidden="1" customWidth="1"/>
    <col min="7" max="7" width="11.85546875" style="1872" hidden="1" customWidth="1"/>
    <col min="8" max="8" width="14.28515625" style="1872" hidden="1" customWidth="1"/>
    <col min="9" max="9" width="14.7109375" style="1872" hidden="1" customWidth="1"/>
    <col min="10" max="11" width="13.5703125" style="1872" customWidth="1"/>
    <col min="12" max="12" width="23.85546875" style="1872" customWidth="1"/>
    <col min="13" max="13" width="11.7109375" style="1872" customWidth="1"/>
    <col min="14" max="16384" width="9.140625" style="1872"/>
  </cols>
  <sheetData>
    <row r="1" spans="1:20">
      <c r="A1" s="2418" t="s">
        <v>2549</v>
      </c>
      <c r="B1" s="2418"/>
      <c r="C1" s="2418"/>
      <c r="D1" s="2418"/>
      <c r="E1" s="2418"/>
      <c r="F1" s="2418"/>
      <c r="G1" s="2418"/>
      <c r="H1" s="2418"/>
      <c r="I1" s="2418"/>
      <c r="J1" s="2418"/>
      <c r="K1" s="2418"/>
      <c r="L1" s="2418"/>
    </row>
    <row r="2" spans="1:20">
      <c r="A2" s="2419" t="s">
        <v>2689</v>
      </c>
      <c r="B2" s="2419"/>
      <c r="C2" s="2419"/>
      <c r="D2" s="2419"/>
      <c r="E2" s="2419"/>
      <c r="F2" s="2419"/>
      <c r="G2" s="2419"/>
      <c r="H2" s="2419"/>
      <c r="I2" s="2419"/>
      <c r="J2" s="2419"/>
      <c r="K2" s="2419"/>
      <c r="L2" s="2419"/>
    </row>
    <row r="3" spans="1:20">
      <c r="A3" s="2331"/>
      <c r="B3" s="2331"/>
      <c r="C3" s="2331"/>
      <c r="D3" s="2331"/>
      <c r="E3" s="2331"/>
      <c r="F3" s="2331"/>
      <c r="G3" s="2331"/>
      <c r="H3" s="2331"/>
      <c r="I3" s="2331"/>
      <c r="J3" s="2331"/>
      <c r="K3" s="2331"/>
      <c r="L3" s="2419" t="s">
        <v>2802</v>
      </c>
      <c r="M3" s="2419"/>
    </row>
    <row r="4" spans="1:20">
      <c r="A4" s="2464" t="s">
        <v>2740</v>
      </c>
      <c r="B4" s="2464"/>
      <c r="C4" s="2464"/>
      <c r="D4" s="2464"/>
      <c r="E4" s="2464"/>
      <c r="F4" s="2464"/>
      <c r="G4" s="2464"/>
      <c r="H4" s="2464"/>
      <c r="I4" s="2464"/>
      <c r="J4" s="2464"/>
      <c r="K4" s="2464"/>
      <c r="L4" s="2464"/>
      <c r="M4" s="2464"/>
      <c r="N4" s="2329"/>
      <c r="O4" s="2329"/>
      <c r="P4" s="2329"/>
      <c r="Q4" s="2329"/>
      <c r="R4" s="2329"/>
      <c r="S4" s="2329"/>
      <c r="T4" s="2329"/>
    </row>
    <row r="5" spans="1:20" s="1871" customFormat="1">
      <c r="A5" s="2419" t="s">
        <v>2582</v>
      </c>
      <c r="B5" s="2419"/>
      <c r="C5" s="2419"/>
      <c r="D5" s="2419"/>
      <c r="E5" s="2419"/>
      <c r="F5" s="2419"/>
      <c r="G5" s="2419"/>
      <c r="H5" s="2419"/>
      <c r="I5" s="2419"/>
      <c r="J5" s="2419"/>
      <c r="K5" s="2419"/>
      <c r="L5" s="2419"/>
    </row>
    <row r="6" spans="1:20" s="1871" customFormat="1">
      <c r="A6" s="2447" t="s">
        <v>2793</v>
      </c>
      <c r="B6" s="2447"/>
      <c r="C6" s="2447"/>
      <c r="D6" s="2447"/>
      <c r="E6" s="2447"/>
      <c r="F6" s="2447"/>
      <c r="G6" s="2447"/>
      <c r="H6" s="2447"/>
      <c r="I6" s="2447"/>
      <c r="J6" s="2447"/>
      <c r="K6" s="2447"/>
      <c r="L6" s="2447"/>
    </row>
    <row r="7" spans="1:20" s="1871" customFormat="1" ht="16.5" thickBot="1">
      <c r="L7" s="2228" t="s">
        <v>344</v>
      </c>
    </row>
    <row r="8" spans="1:20" ht="15.75" customHeight="1">
      <c r="A8" s="2448" t="s">
        <v>349</v>
      </c>
      <c r="B8" s="2450" t="s">
        <v>331</v>
      </c>
      <c r="C8" s="2450" t="s">
        <v>2748</v>
      </c>
      <c r="D8" s="2450"/>
      <c r="E8" s="2450"/>
      <c r="F8" s="2469" t="s">
        <v>2591</v>
      </c>
      <c r="G8" s="2470"/>
      <c r="H8" s="2470"/>
      <c r="I8" s="2470"/>
      <c r="J8" s="2470"/>
      <c r="K8" s="2471"/>
      <c r="L8" s="2469" t="s">
        <v>2592</v>
      </c>
      <c r="M8" s="2470"/>
    </row>
    <row r="9" spans="1:20" ht="31.5">
      <c r="A9" s="2449"/>
      <c r="B9" s="2451"/>
      <c r="C9" s="2158" t="s">
        <v>2792</v>
      </c>
      <c r="D9" s="2158" t="s">
        <v>1036</v>
      </c>
      <c r="E9" s="2158" t="s">
        <v>2791</v>
      </c>
      <c r="F9" s="2158" t="s">
        <v>1035</v>
      </c>
      <c r="G9" s="2158" t="s">
        <v>1036</v>
      </c>
      <c r="H9" s="2158" t="s">
        <v>1047</v>
      </c>
      <c r="I9" s="2158" t="s">
        <v>2790</v>
      </c>
      <c r="J9" s="2158" t="s">
        <v>2508</v>
      </c>
      <c r="K9" s="2238" t="s">
        <v>2771</v>
      </c>
      <c r="L9" s="2158" t="s">
        <v>1040</v>
      </c>
      <c r="M9" s="2158" t="s">
        <v>2771</v>
      </c>
    </row>
    <row r="10" spans="1:20">
      <c r="A10" s="2226"/>
      <c r="B10" s="2227" t="s">
        <v>1042</v>
      </c>
      <c r="C10" s="2227"/>
      <c r="D10" s="2227"/>
      <c r="E10" s="2227"/>
      <c r="F10" s="2157">
        <v>1</v>
      </c>
      <c r="G10" s="2157">
        <v>2</v>
      </c>
      <c r="H10" s="2157">
        <v>3</v>
      </c>
      <c r="I10" s="2157">
        <v>4</v>
      </c>
      <c r="J10" s="2157"/>
      <c r="K10" s="2328"/>
      <c r="L10" s="2157"/>
      <c r="M10" s="2157"/>
    </row>
    <row r="11" spans="1:20">
      <c r="A11" s="2007">
        <v>1</v>
      </c>
      <c r="B11" s="2014" t="s">
        <v>145</v>
      </c>
      <c r="C11" s="2015">
        <v>5.9430728641761581</v>
      </c>
      <c r="D11" s="2015">
        <v>3.89</v>
      </c>
      <c r="E11" s="2015">
        <v>3.8933333333333331</v>
      </c>
      <c r="F11" s="1471">
        <v>5.9430728641761581</v>
      </c>
      <c r="G11" s="2327">
        <v>3.89</v>
      </c>
      <c r="H11" s="2057"/>
      <c r="I11" s="2057"/>
      <c r="J11" s="2057">
        <f>[9]F17!H10/6</f>
        <v>4.7616666666666667</v>
      </c>
      <c r="K11" s="2257">
        <f ca="1">ARR!R26/6</f>
        <v>4.5419536879787801</v>
      </c>
      <c r="L11" s="1471">
        <f>'[9]ARR (SLDC)'!I22/6</f>
        <v>9.7688129497143716</v>
      </c>
      <c r="M11" s="2257">
        <f ca="1">ARR!T26/6</f>
        <v>9.1912729825964963</v>
      </c>
    </row>
    <row r="12" spans="1:20">
      <c r="A12" s="2007">
        <v>2</v>
      </c>
      <c r="B12" s="2014" t="s">
        <v>146</v>
      </c>
      <c r="C12" s="2015">
        <f>0.15*C18</f>
        <v>0</v>
      </c>
      <c r="D12" s="2015">
        <f>0.15*D18</f>
        <v>0</v>
      </c>
      <c r="E12" s="2015">
        <f>0.15*E18</f>
        <v>0</v>
      </c>
      <c r="F12" s="1471">
        <v>2.2227655777585418</v>
      </c>
      <c r="G12" s="2327">
        <v>0.53</v>
      </c>
      <c r="H12" s="2057"/>
      <c r="I12" s="2057"/>
      <c r="J12" s="2057">
        <f>15%*J19</f>
        <v>2.2268859301031765</v>
      </c>
      <c r="K12" s="2257">
        <f>SUM(ARR!R11:R13)*15%</f>
        <v>1.9984359301031767</v>
      </c>
      <c r="L12" s="1471">
        <f>15%*L19</f>
        <v>3.1228971624352102</v>
      </c>
      <c r="M12" s="2257">
        <f>SUM(ARR!T11:T13)*15%</f>
        <v>2.9002971624352107</v>
      </c>
    </row>
    <row r="13" spans="1:20">
      <c r="A13" s="2325">
        <v>3</v>
      </c>
      <c r="B13" s="1478" t="s">
        <v>147</v>
      </c>
      <c r="C13" s="2015">
        <f>C18/12</f>
        <v>0</v>
      </c>
      <c r="D13" s="2015">
        <f>D18/12</f>
        <v>0</v>
      </c>
      <c r="E13" s="2015">
        <f>E18/12</f>
        <v>0</v>
      </c>
      <c r="F13" s="1471">
        <v>1.234869765421412</v>
      </c>
      <c r="G13" s="2327">
        <v>0.28999999999999998</v>
      </c>
      <c r="H13" s="2057"/>
      <c r="I13" s="2057"/>
      <c r="J13" s="2057">
        <f>J19/12</f>
        <v>1.2371588500573203</v>
      </c>
      <c r="K13" s="2257">
        <f>SUM(ARR!R11:R13)*1/12</f>
        <v>1.1102421833906537</v>
      </c>
      <c r="L13" s="1471">
        <f>L19/12</f>
        <v>1.7349428680195613</v>
      </c>
      <c r="M13" s="2257">
        <f>SUM(ARR!T11:T13)*1/12</f>
        <v>1.6112762013528947</v>
      </c>
    </row>
    <row r="14" spans="1:20">
      <c r="A14" s="2325">
        <v>4</v>
      </c>
      <c r="B14" s="2324" t="s">
        <v>2692</v>
      </c>
      <c r="C14" s="2243">
        <f>SUM(C11:C13)</f>
        <v>5.9430728641761581</v>
      </c>
      <c r="D14" s="2243">
        <f>SUM(D11:D13)</f>
        <v>3.89</v>
      </c>
      <c r="E14" s="2243">
        <f>SUM(E11:E13)</f>
        <v>3.8933333333333331</v>
      </c>
      <c r="F14" s="2243">
        <f>SUM(F11:F13)</f>
        <v>9.4007082073561108</v>
      </c>
      <c r="G14" s="2243">
        <f>SUM(G11:G13)</f>
        <v>4.71</v>
      </c>
      <c r="H14" s="2057"/>
      <c r="I14" s="2057"/>
      <c r="J14" s="2326">
        <f>SUM(J11:J13)</f>
        <v>8.2257114468271624</v>
      </c>
      <c r="K14" s="2326">
        <f ca="1">SUM(K11:K13)</f>
        <v>7.6506318014726098</v>
      </c>
      <c r="L14" s="2243">
        <f>SUM(L11:L13)</f>
        <v>14.626652980169144</v>
      </c>
      <c r="M14" s="2326">
        <f ca="1">SUM(M11:M13)</f>
        <v>13.702846346384602</v>
      </c>
    </row>
    <row r="15" spans="1:20">
      <c r="A15" s="2325">
        <v>5</v>
      </c>
      <c r="B15" s="2324" t="s">
        <v>2236</v>
      </c>
      <c r="C15" s="2323">
        <v>0.11749999999999999</v>
      </c>
      <c r="D15" s="2323">
        <v>0.11749999999999999</v>
      </c>
      <c r="E15" s="2322">
        <v>0.125</v>
      </c>
      <c r="F15" s="2321">
        <v>0.11749999999999999</v>
      </c>
      <c r="G15" s="2321">
        <v>0.11749999999999999</v>
      </c>
      <c r="H15" s="2320"/>
      <c r="I15" s="2320"/>
      <c r="J15" s="2132">
        <v>0.14749999999999999</v>
      </c>
      <c r="K15" s="2132">
        <v>0.14749999999999999</v>
      </c>
      <c r="L15" s="2321">
        <v>0.14749999999999999</v>
      </c>
      <c r="M15" s="2132">
        <v>0.14749999999999999</v>
      </c>
    </row>
    <row r="16" spans="1:20" ht="16.5" thickBot="1">
      <c r="A16" s="2319">
        <v>6</v>
      </c>
      <c r="B16" s="2318" t="s">
        <v>340</v>
      </c>
      <c r="C16" s="1585">
        <f>C14*0.1175</f>
        <v>0.69831106154069855</v>
      </c>
      <c r="D16" s="1585">
        <f>D14*0.1175</f>
        <v>0.45707500000000001</v>
      </c>
      <c r="E16" s="1585">
        <f>E14*0.1175</f>
        <v>0.45746666666666663</v>
      </c>
      <c r="F16" s="1585">
        <f>F14*F15</f>
        <v>1.104583214364343</v>
      </c>
      <c r="G16" s="1585">
        <v>0.77</v>
      </c>
      <c r="H16" s="2317"/>
      <c r="I16" s="2317"/>
      <c r="J16" s="2316">
        <f>J14*J15</f>
        <v>1.2132924384070063</v>
      </c>
      <c r="K16" s="2316">
        <f ca="1">K14*K15</f>
        <v>1.1284681907172098</v>
      </c>
      <c r="L16" s="1585">
        <f>L14*L15</f>
        <v>2.1574313145749486</v>
      </c>
      <c r="M16" s="2316">
        <f ca="1">M14*M15</f>
        <v>2.0211698360917287</v>
      </c>
    </row>
    <row r="17" spans="2:12" hidden="1">
      <c r="B17" s="2315"/>
      <c r="C17" s="2315"/>
      <c r="D17" s="2315"/>
      <c r="E17" s="2315"/>
      <c r="F17" s="2315"/>
      <c r="G17" s="2315"/>
    </row>
    <row r="18" spans="2:12" hidden="1">
      <c r="B18" s="2033"/>
      <c r="C18" s="2314"/>
      <c r="D18" s="2314"/>
      <c r="E18" s="2314"/>
      <c r="F18" s="2314">
        <f>SUM('[9]ARR (SLDC)'!D9:D11)</f>
        <v>13.484</v>
      </c>
      <c r="G18" s="2314">
        <f>SUM('[9]ARR (SLDC)'!E9:E11)</f>
        <v>4.7519999999999998</v>
      </c>
      <c r="J18" s="2081">
        <f>SUM('[9]ARR (SLDC)'!H9:H11)</f>
        <v>14.845906200687843</v>
      </c>
      <c r="K18" s="2081"/>
      <c r="L18" s="2081">
        <f>SUM('[9]ARR (SLDC)'!I9:I11)</f>
        <v>20.819314416234736</v>
      </c>
    </row>
    <row r="19" spans="2:12" hidden="1">
      <c r="B19" s="2033"/>
      <c r="C19" s="2033"/>
      <c r="D19" s="2033"/>
      <c r="E19" s="2033"/>
      <c r="F19" s="2033"/>
      <c r="G19" s="2033"/>
      <c r="J19" s="2313">
        <f>SUM('[9]ARR (SLDC)'!H9:H11)</f>
        <v>14.845906200687843</v>
      </c>
      <c r="K19" s="2313"/>
      <c r="L19" s="2081">
        <f>SUM('[9]ARR (SLDC)'!I9:I11)</f>
        <v>20.819314416234736</v>
      </c>
    </row>
    <row r="20" spans="2:12" hidden="1">
      <c r="B20" s="2033"/>
      <c r="C20" s="2033"/>
      <c r="D20" s="2033"/>
      <c r="E20" s="2033"/>
      <c r="F20" s="2033"/>
      <c r="G20" s="2033"/>
    </row>
  </sheetData>
  <sheetProtection selectLockedCells="1" selectUnlockedCells="1"/>
  <mergeCells count="11">
    <mergeCell ref="A4:M4"/>
    <mergeCell ref="A1:L1"/>
    <mergeCell ref="A2:L2"/>
    <mergeCell ref="A8:A9"/>
    <mergeCell ref="B8:B9"/>
    <mergeCell ref="A5:L5"/>
    <mergeCell ref="A6:L6"/>
    <mergeCell ref="C8:E8"/>
    <mergeCell ref="F8:K8"/>
    <mergeCell ref="L8:M8"/>
    <mergeCell ref="L3:M3"/>
  </mergeCells>
  <printOptions horizontalCentered="1"/>
  <pageMargins left="0.7" right="0.7" top="0.75" bottom="0.75" header="0.3" footer="0.3"/>
  <pageSetup paperSize="9" scale="93" firstPageNumber="10" orientation="landscape" useFirstPageNumber="1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80"/>
  <sheetViews>
    <sheetView view="pageBreakPreview" zoomScale="80" zoomScaleSheetLayoutView="80" workbookViewId="0">
      <selection activeCell="N3" sqref="N3:U3"/>
    </sheetView>
  </sheetViews>
  <sheetFormatPr defaultRowHeight="15" customHeight="1"/>
  <cols>
    <col min="1" max="1" width="5.28515625" style="2" customWidth="1"/>
    <col min="2" max="2" width="9.42578125" style="2" customWidth="1"/>
    <col min="3" max="3" width="33.28515625" style="2" customWidth="1"/>
    <col min="4" max="4" width="12.140625" style="2" hidden="1" customWidth="1"/>
    <col min="5" max="7" width="14.5703125" style="2" hidden="1" customWidth="1"/>
    <col min="8" max="8" width="14.140625" style="2" hidden="1" customWidth="1"/>
    <col min="9" max="9" width="15.28515625" style="2" hidden="1" customWidth="1"/>
    <col min="10" max="10" width="18.140625" style="2" hidden="1" customWidth="1"/>
    <col min="11" max="11" width="19.85546875" style="2" hidden="1" customWidth="1"/>
    <col min="12" max="13" width="14.28515625" style="2" customWidth="1"/>
    <col min="14" max="14" width="15" style="2" customWidth="1"/>
    <col min="15" max="15" width="15.85546875" style="2" customWidth="1"/>
    <col min="16" max="16" width="10.140625" style="2" hidden="1" customWidth="1"/>
    <col min="17" max="17" width="4" style="2" hidden="1" customWidth="1"/>
    <col min="18" max="18" width="20.85546875" style="2" hidden="1" customWidth="1"/>
    <col min="19" max="19" width="17.140625" style="2" hidden="1" customWidth="1"/>
    <col min="20" max="20" width="9.140625" style="2" hidden="1" customWidth="1"/>
    <col min="21" max="22" width="9.140625" style="2" customWidth="1"/>
    <col min="23" max="16384" width="9.140625" style="2"/>
  </cols>
  <sheetData>
    <row r="1" spans="2:21" ht="15.75" customHeight="1">
      <c r="B1" s="2418" t="s">
        <v>2549</v>
      </c>
      <c r="C1" s="2418"/>
      <c r="D1" s="2418"/>
      <c r="E1" s="2418"/>
      <c r="F1" s="2418"/>
      <c r="G1" s="2418"/>
      <c r="H1" s="2418"/>
      <c r="I1" s="2418"/>
      <c r="J1" s="2418"/>
      <c r="K1" s="2418"/>
      <c r="L1" s="2418"/>
      <c r="M1" s="2418"/>
      <c r="N1" s="2418"/>
      <c r="O1" s="2418"/>
      <c r="R1" s="2195" t="s">
        <v>331</v>
      </c>
      <c r="S1" s="2195" t="s">
        <v>2644</v>
      </c>
      <c r="T1" s="2195" t="s">
        <v>2615</v>
      </c>
    </row>
    <row r="2" spans="2:21" ht="24" customHeight="1">
      <c r="B2" s="2419" t="s">
        <v>2689</v>
      </c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N2" s="2419"/>
      <c r="O2" s="2419"/>
      <c r="R2" s="1456" t="s">
        <v>2389</v>
      </c>
      <c r="S2" s="966">
        <v>0.2</v>
      </c>
      <c r="T2" s="966">
        <v>0.2</v>
      </c>
    </row>
    <row r="3" spans="2:21" ht="24" customHeight="1">
      <c r="B3" s="2331"/>
      <c r="C3" s="2331"/>
      <c r="D3" s="2331"/>
      <c r="E3" s="2331"/>
      <c r="F3" s="2331"/>
      <c r="G3" s="2331"/>
      <c r="H3" s="2331"/>
      <c r="I3" s="2331"/>
      <c r="J3" s="2331"/>
      <c r="K3" s="2331"/>
      <c r="L3" s="2331"/>
      <c r="M3" s="2331"/>
      <c r="N3" s="2467" t="s">
        <v>2795</v>
      </c>
      <c r="O3" s="2467"/>
      <c r="P3" s="2467"/>
      <c r="Q3" s="2467"/>
      <c r="R3" s="2467"/>
      <c r="S3" s="2467"/>
      <c r="T3" s="2467"/>
      <c r="U3" s="2467"/>
    </row>
    <row r="4" spans="2:21" ht="15.75" customHeight="1">
      <c r="B4" s="2419" t="s">
        <v>2572</v>
      </c>
      <c r="C4" s="2419"/>
      <c r="D4" s="2419"/>
      <c r="E4" s="2419"/>
      <c r="F4" s="2419"/>
      <c r="G4" s="2419"/>
      <c r="H4" s="2419"/>
      <c r="I4" s="2419"/>
      <c r="J4" s="2419"/>
      <c r="K4" s="2419"/>
      <c r="L4" s="2419"/>
      <c r="M4" s="2419"/>
      <c r="N4" s="2419"/>
      <c r="O4" s="2419"/>
      <c r="R4" s="1452"/>
      <c r="S4" s="1451"/>
      <c r="T4" s="205"/>
    </row>
    <row r="5" spans="2:21" ht="13.5" customHeight="1">
      <c r="B5" s="2435" t="s">
        <v>1022</v>
      </c>
      <c r="C5" s="2435"/>
      <c r="D5" s="2435"/>
      <c r="E5" s="2435"/>
      <c r="F5" s="2435"/>
      <c r="G5" s="2435"/>
      <c r="H5" s="2435"/>
      <c r="I5" s="2435"/>
      <c r="J5" s="2435"/>
      <c r="K5" s="2435"/>
      <c r="L5" s="2435"/>
      <c r="M5" s="2435"/>
      <c r="N5" s="2435"/>
      <c r="O5" s="2435"/>
      <c r="P5" s="205"/>
    </row>
    <row r="6" spans="2:21" ht="15.75">
      <c r="B6" s="2186"/>
      <c r="C6" s="2186"/>
      <c r="I6" s="2186"/>
      <c r="J6" s="2186"/>
      <c r="O6" s="2202" t="s">
        <v>93</v>
      </c>
      <c r="P6" s="205"/>
      <c r="R6" s="2186"/>
      <c r="S6" s="2186" t="s">
        <v>1438</v>
      </c>
    </row>
    <row r="7" spans="2:21" s="2186" customFormat="1" ht="32.25" customHeight="1">
      <c r="B7" s="2443" t="s">
        <v>1003</v>
      </c>
      <c r="C7" s="2443" t="s">
        <v>282</v>
      </c>
      <c r="D7" s="2443" t="s">
        <v>1034</v>
      </c>
      <c r="E7" s="2443"/>
      <c r="F7" s="2443"/>
      <c r="G7" s="2443"/>
      <c r="H7" s="2443" t="s">
        <v>2591</v>
      </c>
      <c r="I7" s="2443"/>
      <c r="J7" s="2443"/>
      <c r="K7" s="2443"/>
      <c r="L7" s="2443"/>
      <c r="M7" s="2443"/>
      <c r="N7" s="2443" t="s">
        <v>2592</v>
      </c>
      <c r="O7" s="2443"/>
    </row>
    <row r="8" spans="2:21" s="2186" customFormat="1" ht="62.25" customHeight="1">
      <c r="B8" s="2443"/>
      <c r="C8" s="2443"/>
      <c r="D8" s="2225" t="s">
        <v>1035</v>
      </c>
      <c r="E8" s="2225" t="s">
        <v>1036</v>
      </c>
      <c r="F8" s="2225" t="s">
        <v>1038</v>
      </c>
      <c r="G8" s="2225" t="s">
        <v>1037</v>
      </c>
      <c r="H8" s="2225" t="s">
        <v>1035</v>
      </c>
      <c r="I8" s="2225" t="s">
        <v>1036</v>
      </c>
      <c r="J8" s="2225" t="s">
        <v>1047</v>
      </c>
      <c r="K8" s="2225" t="s">
        <v>2566</v>
      </c>
      <c r="L8" s="2225" t="s">
        <v>2508</v>
      </c>
      <c r="M8" s="2225" t="s">
        <v>2765</v>
      </c>
      <c r="N8" s="2225" t="s">
        <v>1040</v>
      </c>
      <c r="O8" s="2225" t="s">
        <v>2764</v>
      </c>
    </row>
    <row r="9" spans="2:21" s="2186" customFormat="1" ht="19.5" hidden="1" customHeight="1">
      <c r="B9" s="2225"/>
      <c r="C9" s="2225" t="s">
        <v>2553</v>
      </c>
      <c r="D9" s="2225">
        <v>1</v>
      </c>
      <c r="E9" s="2225">
        <v>2</v>
      </c>
      <c r="F9" s="2225">
        <v>3</v>
      </c>
      <c r="G9" s="2225">
        <v>4</v>
      </c>
      <c r="H9" s="2225">
        <v>1</v>
      </c>
      <c r="I9" s="2225">
        <v>2</v>
      </c>
      <c r="J9" s="2225">
        <v>3</v>
      </c>
      <c r="K9" s="2225">
        <v>4</v>
      </c>
      <c r="L9" s="2225" t="s">
        <v>2578</v>
      </c>
      <c r="M9" s="2225"/>
      <c r="N9" s="2225">
        <v>6</v>
      </c>
      <c r="O9" s="2225"/>
    </row>
    <row r="10" spans="2:21" ht="27.75" customHeight="1">
      <c r="B10" s="1738" t="s">
        <v>1030</v>
      </c>
      <c r="C10" s="50" t="s">
        <v>1066</v>
      </c>
      <c r="D10" s="485"/>
      <c r="E10" s="485"/>
      <c r="F10" s="485"/>
      <c r="G10" s="485"/>
      <c r="H10" s="1719"/>
      <c r="I10" s="2476"/>
      <c r="J10" s="1453"/>
      <c r="K10" s="1453"/>
      <c r="L10" s="1719"/>
      <c r="M10" s="1719"/>
      <c r="N10" s="1719"/>
      <c r="O10" s="1719"/>
    </row>
    <row r="11" spans="2:21" ht="15.75">
      <c r="B11" s="1456">
        <v>1</v>
      </c>
      <c r="C11" s="20" t="s">
        <v>283</v>
      </c>
      <c r="D11" s="188">
        <v>156.108</v>
      </c>
      <c r="E11" s="188"/>
      <c r="F11" s="188">
        <f>'[2]Schedules of Accounts'!E5/10^7</f>
        <v>108.3032747</v>
      </c>
      <c r="G11" s="188">
        <f>F11</f>
        <v>108.3032747</v>
      </c>
      <c r="H11" s="1863">
        <v>187.81455</v>
      </c>
      <c r="I11" s="2476"/>
      <c r="J11" s="1453">
        <v>40.209403800000004</v>
      </c>
      <c r="K11" s="1453">
        <f>'[4]Revised projections for Empl Ex'!$D$7</f>
        <v>44.203084199999999</v>
      </c>
      <c r="L11" s="1719">
        <f>J11+K11</f>
        <v>84.412487999999996</v>
      </c>
      <c r="M11" s="1719">
        <v>84.412487999999996</v>
      </c>
      <c r="N11" s="1719">
        <f>'[4]Revised projections for Empl Ex'!$F$7</f>
        <v>95.270985851999995</v>
      </c>
      <c r="O11" s="1719">
        <v>95.270985851999995</v>
      </c>
    </row>
    <row r="12" spans="2:21" ht="15.75">
      <c r="B12" s="1456">
        <v>2</v>
      </c>
      <c r="C12" s="20" t="s">
        <v>284</v>
      </c>
      <c r="D12" s="188">
        <v>69.147000000000006</v>
      </c>
      <c r="E12" s="188"/>
      <c r="F12" s="188">
        <f>'[2]Schedules of Accounts'!E7/10^7</f>
        <v>42.827336699999996</v>
      </c>
      <c r="G12" s="188">
        <f>F12</f>
        <v>42.827336699999996</v>
      </c>
      <c r="H12" s="1863">
        <v>65.470649999999992</v>
      </c>
      <c r="I12" s="2476"/>
      <c r="J12" s="1453">
        <v>25.088905499999999</v>
      </c>
      <c r="K12" s="1453">
        <f>'[4]Revised projections for Empl Ex'!$D$12</f>
        <v>33.297327470999996</v>
      </c>
      <c r="L12" s="1719">
        <f>J12+K12</f>
        <v>58.386232970999998</v>
      </c>
      <c r="M12" s="1719">
        <v>58.386232970999998</v>
      </c>
      <c r="N12" s="1719">
        <f>'[4]Revised projections for Empl Ex'!$F$12</f>
        <v>78.122208398639984</v>
      </c>
      <c r="O12" s="1719">
        <v>78.122208398639984</v>
      </c>
      <c r="Q12" s="61"/>
    </row>
    <row r="13" spans="2:21" ht="31.5">
      <c r="B13" s="1720">
        <v>3</v>
      </c>
      <c r="C13" s="1412" t="s">
        <v>2662</v>
      </c>
      <c r="D13" s="188">
        <v>15.366000000000001</v>
      </c>
      <c r="E13" s="188"/>
      <c r="F13" s="2475">
        <f>'[2]Schedules of Accounts'!E8/10^7</f>
        <v>19.395567199999999</v>
      </c>
      <c r="G13" s="2475">
        <f>F13</f>
        <v>19.395567199999999</v>
      </c>
      <c r="H13" s="1863">
        <f>22.6527+3.38</f>
        <v>26.032699999999998</v>
      </c>
      <c r="I13" s="2476"/>
      <c r="J13" s="1863">
        <v>7.8939135000000018</v>
      </c>
      <c r="K13" s="1453">
        <f>'[4]Revised projections for Empl Ex'!$D$18</f>
        <v>14.264725260000002</v>
      </c>
      <c r="L13" s="1719">
        <f>J13+K13</f>
        <v>22.158638760000002</v>
      </c>
      <c r="M13" s="1719">
        <v>22.158638760000002</v>
      </c>
      <c r="N13" s="1719">
        <f>'[4]Revised projections for Empl Ex'!$F$18</f>
        <v>30.755095755599996</v>
      </c>
      <c r="O13" s="1719">
        <v>30.755095755599996</v>
      </c>
    </row>
    <row r="14" spans="2:21" ht="15.75" hidden="1" customHeight="1">
      <c r="B14" s="1720"/>
      <c r="C14" s="1412"/>
      <c r="D14" s="188">
        <v>2.4222000000000001</v>
      </c>
      <c r="E14" s="188"/>
      <c r="F14" s="2475"/>
      <c r="G14" s="2475"/>
      <c r="H14" s="1863"/>
      <c r="I14" s="2476"/>
      <c r="J14" s="1453"/>
      <c r="K14" s="1453"/>
      <c r="L14" s="1719"/>
      <c r="M14" s="1719"/>
      <c r="N14" s="1719"/>
      <c r="O14" s="1719"/>
      <c r="Q14" s="61"/>
    </row>
    <row r="15" spans="2:21" ht="15.75" hidden="1" customHeight="1">
      <c r="B15" s="1720"/>
      <c r="C15" s="1412"/>
      <c r="D15" s="188">
        <v>4</v>
      </c>
      <c r="E15" s="188"/>
      <c r="F15" s="2475"/>
      <c r="G15" s="2475"/>
      <c r="H15" s="1863"/>
      <c r="I15" s="2476"/>
      <c r="J15" s="1453"/>
      <c r="K15" s="1453"/>
      <c r="L15" s="1719"/>
      <c r="M15" s="1719"/>
      <c r="N15" s="1719"/>
      <c r="O15" s="1719"/>
    </row>
    <row r="16" spans="2:21" ht="15.75">
      <c r="B16" s="1720">
        <v>4</v>
      </c>
      <c r="C16" s="1412" t="s">
        <v>286</v>
      </c>
      <c r="D16" s="188">
        <v>4</v>
      </c>
      <c r="E16" s="188"/>
      <c r="F16" s="188">
        <f>'[2]Schedules of Accounts'!E6/10^7</f>
        <v>3.1117724</v>
      </c>
      <c r="G16" s="188">
        <f>F16</f>
        <v>3.1117724</v>
      </c>
      <c r="H16" s="1863">
        <v>3.7432500000000002</v>
      </c>
      <c r="I16" s="2476"/>
      <c r="J16" s="1453">
        <v>1.4769767</v>
      </c>
      <c r="K16" s="1453">
        <f>'[4]Revised projections for Empl Ex'!$D$32</f>
        <v>1.9268718000000002</v>
      </c>
      <c r="L16" s="1719">
        <f>J16+K16</f>
        <v>3.4038485000000005</v>
      </c>
      <c r="M16" s="1719">
        <v>3.4038485000000005</v>
      </c>
      <c r="N16" s="1719">
        <f>'[4]Revised projections for Empl Ex'!$F$32</f>
        <v>3.9693559080000007</v>
      </c>
      <c r="O16" s="1719">
        <v>3.9693559080000007</v>
      </c>
    </row>
    <row r="17" spans="2:17" ht="17.25" customHeight="1">
      <c r="B17" s="1720">
        <v>5</v>
      </c>
      <c r="C17" s="1412" t="s">
        <v>285</v>
      </c>
      <c r="D17" s="188">
        <v>1</v>
      </c>
      <c r="E17" s="188"/>
      <c r="F17" s="188">
        <f>'[2]Schedules of Accounts'!E11/10^7</f>
        <v>1.1073852</v>
      </c>
      <c r="G17" s="188">
        <f>F17</f>
        <v>1.1073852</v>
      </c>
      <c r="H17" s="1863">
        <v>1.2799499999999999</v>
      </c>
      <c r="I17" s="2476"/>
      <c r="J17" s="1453">
        <v>0.64992119999999998</v>
      </c>
      <c r="K17" s="1453">
        <f>'[4]Revised projections for Empl Ex'!$D$34</f>
        <v>0.67172582999999997</v>
      </c>
      <c r="L17" s="1719">
        <f>J17+K17</f>
        <v>1.3216470299999998</v>
      </c>
      <c r="M17" s="1719">
        <v>1.3216470299999998</v>
      </c>
      <c r="N17" s="1719">
        <f>'[4]Revised projections for Empl Ex'!$F$34</f>
        <v>1.3434516599999999</v>
      </c>
      <c r="O17" s="1719">
        <v>1.3434516599999999</v>
      </c>
    </row>
    <row r="18" spans="2:17" ht="15.75" hidden="1" customHeight="1">
      <c r="B18" s="1720"/>
      <c r="C18" s="1412"/>
      <c r="D18" s="188"/>
      <c r="E18" s="188"/>
      <c r="F18" s="188"/>
      <c r="G18" s="188"/>
      <c r="H18" s="1863"/>
      <c r="I18" s="2476"/>
      <c r="J18" s="1453"/>
      <c r="K18" s="1453"/>
      <c r="L18" s="1719"/>
      <c r="M18" s="1719"/>
      <c r="N18" s="1719"/>
      <c r="O18" s="1719"/>
    </row>
    <row r="19" spans="2:17" ht="15.75">
      <c r="B19" s="1720"/>
      <c r="C19" s="1412"/>
      <c r="D19" s="188"/>
      <c r="E19" s="188"/>
      <c r="F19" s="188"/>
      <c r="G19" s="188"/>
      <c r="H19" s="1863"/>
      <c r="I19" s="2476"/>
      <c r="J19" s="1453"/>
      <c r="K19" s="1453"/>
      <c r="L19" s="1719"/>
      <c r="M19" s="1719"/>
      <c r="N19" s="1719"/>
      <c r="O19" s="1719"/>
    </row>
    <row r="20" spans="2:17" ht="15.75">
      <c r="B20" s="1718">
        <v>6</v>
      </c>
      <c r="C20" s="15" t="s">
        <v>1033</v>
      </c>
      <c r="D20" s="1897">
        <f>SUM(D11:D19)</f>
        <v>252.04320000000001</v>
      </c>
      <c r="E20" s="1897">
        <f>99-6.69</f>
        <v>92.31</v>
      </c>
      <c r="F20" s="1897">
        <f>SUM(F11:F19)</f>
        <v>174.7453362</v>
      </c>
      <c r="G20" s="1897">
        <f>SUM(G11:G19)</f>
        <v>174.7453362</v>
      </c>
      <c r="H20" s="1454">
        <f>SUM(H11:H19)</f>
        <v>284.34109999999993</v>
      </c>
      <c r="I20" s="2476"/>
      <c r="J20" s="1454">
        <f>SUM(J11:J19)</f>
        <v>75.319120699999985</v>
      </c>
      <c r="K20" s="1454">
        <f>SUM(K11:K19)</f>
        <v>94.363734561000001</v>
      </c>
      <c r="L20" s="1454">
        <f>SUM(L11:L19)</f>
        <v>169.68285526100001</v>
      </c>
      <c r="M20" s="1454">
        <v>169.68285526100001</v>
      </c>
      <c r="N20" s="1454">
        <f>SUM(N11:N19)</f>
        <v>209.46109757423997</v>
      </c>
      <c r="O20" s="1454">
        <v>209.46109757423997</v>
      </c>
    </row>
    <row r="21" spans="2:17" ht="15.75">
      <c r="B21" s="1718" t="s">
        <v>1031</v>
      </c>
      <c r="C21" s="15" t="s">
        <v>288</v>
      </c>
      <c r="D21" s="188"/>
      <c r="E21" s="188"/>
      <c r="F21" s="188"/>
      <c r="G21" s="188"/>
      <c r="H21" s="1863"/>
      <c r="I21" s="2476"/>
      <c r="J21" s="1453"/>
      <c r="K21" s="1453"/>
      <c r="L21" s="1719"/>
      <c r="M21" s="1719">
        <v>170</v>
      </c>
      <c r="N21" s="1453">
        <f>'[4]Employee exp from Sep -12 Sal2'!W65</f>
        <v>0</v>
      </c>
      <c r="O21" s="1453">
        <v>184</v>
      </c>
    </row>
    <row r="22" spans="2:17" ht="15.75">
      <c r="B22" s="1720">
        <v>7</v>
      </c>
      <c r="C22" s="1412" t="s">
        <v>289</v>
      </c>
      <c r="D22" s="188">
        <v>9.702</v>
      </c>
      <c r="E22" s="188">
        <f>D22</f>
        <v>9.702</v>
      </c>
      <c r="F22" s="188">
        <f>'[2]Schedules of Accounts'!E13/10^7</f>
        <v>0</v>
      </c>
      <c r="G22" s="188">
        <f>F22</f>
        <v>0</v>
      </c>
      <c r="H22" s="1863">
        <v>10.939950000000001</v>
      </c>
      <c r="I22" s="2476"/>
      <c r="J22" s="1453">
        <v>5.4252687000000002</v>
      </c>
      <c r="K22" s="1453">
        <f>'[4]Revised projections for Empl Ex'!$D$20</f>
        <v>7.01</v>
      </c>
      <c r="L22" s="1719">
        <f>J22+K22</f>
        <v>12.4352687</v>
      </c>
      <c r="M22" s="1719"/>
      <c r="N22" s="1453">
        <f>'[4]Revised projections for Empl Ex'!$F$20</f>
        <v>13.3</v>
      </c>
      <c r="O22" s="1453"/>
      <c r="P22" s="61"/>
      <c r="Q22" s="61"/>
    </row>
    <row r="23" spans="2:17" ht="15.75">
      <c r="B23" s="1720">
        <v>8</v>
      </c>
      <c r="C23" s="1412" t="s">
        <v>290</v>
      </c>
      <c r="D23" s="188">
        <v>14.3</v>
      </c>
      <c r="E23" s="188">
        <f>D23</f>
        <v>14.3</v>
      </c>
      <c r="F23" s="188"/>
      <c r="G23" s="188"/>
      <c r="H23" s="1863">
        <v>19.223399999999998</v>
      </c>
      <c r="I23" s="2476"/>
      <c r="J23" s="1453">
        <v>8.3287212000000004</v>
      </c>
      <c r="K23" s="1453">
        <f>'[4]Revised projections for Empl Ex'!$D$22</f>
        <v>13.45</v>
      </c>
      <c r="L23" s="1719">
        <f>J23+K23</f>
        <v>21.7787212</v>
      </c>
      <c r="M23" s="1719"/>
      <c r="N23" s="1453">
        <f>'[4]Revised projections for Empl Ex'!$F$22</f>
        <v>14</v>
      </c>
      <c r="O23" s="1453"/>
      <c r="P23" s="61"/>
      <c r="Q23" s="61"/>
    </row>
    <row r="24" spans="2:17" ht="15.75" hidden="1" customHeight="1">
      <c r="B24" s="1720"/>
      <c r="C24" s="1412"/>
      <c r="D24" s="188"/>
      <c r="E24" s="188"/>
      <c r="F24" s="188"/>
      <c r="G24" s="188"/>
      <c r="H24" s="1863"/>
      <c r="I24" s="2476"/>
      <c r="J24" s="1453"/>
      <c r="K24" s="1453"/>
      <c r="L24" s="1719"/>
      <c r="M24" s="1719"/>
      <c r="N24" s="1453"/>
      <c r="O24" s="1453"/>
      <c r="P24" s="61"/>
      <c r="Q24" s="61"/>
    </row>
    <row r="25" spans="2:17" ht="15.75">
      <c r="B25" s="1720">
        <v>9</v>
      </c>
      <c r="C25" s="1412" t="s">
        <v>291</v>
      </c>
      <c r="D25" s="188">
        <v>0.2</v>
      </c>
      <c r="E25" s="188">
        <v>0</v>
      </c>
      <c r="F25" s="188">
        <f>'[2]Schedules of Accounts'!E14/10^7</f>
        <v>8.4574999999999997E-2</v>
      </c>
      <c r="G25" s="188">
        <f>F25</f>
        <v>8.4574999999999997E-2</v>
      </c>
      <c r="H25" s="1863">
        <v>4.8300000000000003E-2</v>
      </c>
      <c r="I25" s="2476"/>
      <c r="J25" s="1453">
        <v>0</v>
      </c>
      <c r="K25" s="1453">
        <v>0</v>
      </c>
      <c r="L25" s="1719">
        <f>J25+K25</f>
        <v>0</v>
      </c>
      <c r="M25" s="1719"/>
      <c r="N25" s="1453">
        <v>0</v>
      </c>
      <c r="O25" s="1453"/>
      <c r="P25" s="61"/>
      <c r="Q25" s="61"/>
    </row>
    <row r="26" spans="2:17" ht="15.75" hidden="1" customHeight="1">
      <c r="B26" s="1720"/>
      <c r="C26" s="1412"/>
      <c r="D26" s="188"/>
      <c r="E26" s="188"/>
      <c r="F26" s="188"/>
      <c r="G26" s="188"/>
      <c r="H26" s="1863"/>
      <c r="I26" s="2476"/>
      <c r="J26" s="1453"/>
      <c r="K26" s="1453"/>
      <c r="L26" s="1719"/>
      <c r="M26" s="1719"/>
      <c r="N26" s="1453"/>
      <c r="O26" s="1453"/>
      <c r="P26" s="61"/>
      <c r="Q26" s="61"/>
    </row>
    <row r="27" spans="2:17" ht="15.75" hidden="1" customHeight="1">
      <c r="B27" s="1720"/>
      <c r="C27" s="1412"/>
      <c r="D27" s="188"/>
      <c r="E27" s="188"/>
      <c r="F27" s="188"/>
      <c r="G27" s="188"/>
      <c r="H27" s="1863"/>
      <c r="I27" s="2476"/>
      <c r="J27" s="1453"/>
      <c r="K27" s="1453"/>
      <c r="L27" s="1719"/>
      <c r="M27" s="1719"/>
      <c r="N27" s="1453"/>
      <c r="O27" s="1453"/>
      <c r="P27" s="61"/>
      <c r="Q27" s="61"/>
    </row>
    <row r="28" spans="2:17" ht="15.75">
      <c r="B28" s="1718">
        <v>10</v>
      </c>
      <c r="C28" s="15" t="s">
        <v>1033</v>
      </c>
      <c r="D28" s="1897">
        <f>SUM(D22:D27)</f>
        <v>24.202000000000002</v>
      </c>
      <c r="E28" s="1897">
        <f>SUM(E22:E27)</f>
        <v>24.002000000000002</v>
      </c>
      <c r="F28" s="1897">
        <f>SUM(F22:F27)</f>
        <v>8.4574999999999997E-2</v>
      </c>
      <c r="G28" s="1897">
        <f>SUM(G22:G27)</f>
        <v>8.4574999999999997E-2</v>
      </c>
      <c r="H28" s="1454">
        <f>SUM(H22:H27)</f>
        <v>30.211650000000002</v>
      </c>
      <c r="I28" s="2476"/>
      <c r="J28" s="1454">
        <f>SUM(J22:J27)</f>
        <v>13.753989900000001</v>
      </c>
      <c r="K28" s="1454">
        <f>SUM(K22:K27)</f>
        <v>20.46</v>
      </c>
      <c r="L28" s="1454">
        <f>SUM(L22:L27)</f>
        <v>34.213989900000001</v>
      </c>
      <c r="M28" s="1454"/>
      <c r="N28" s="1454">
        <f>SUM(N22:N27)</f>
        <v>27.3</v>
      </c>
      <c r="O28" s="1454"/>
      <c r="P28" s="61"/>
      <c r="Q28" s="61"/>
    </row>
    <row r="29" spans="2:17" ht="15.75">
      <c r="B29" s="1718" t="s">
        <v>1032</v>
      </c>
      <c r="C29" s="15" t="s">
        <v>292</v>
      </c>
      <c r="D29" s="188"/>
      <c r="E29" s="188"/>
      <c r="F29" s="188"/>
      <c r="G29" s="188"/>
      <c r="H29" s="1863"/>
      <c r="I29" s="2476"/>
      <c r="J29" s="1453"/>
      <c r="K29" s="1453"/>
      <c r="L29" s="1719"/>
      <c r="M29" s="1719"/>
      <c r="N29" s="1453">
        <f>'[4]Employee exp from Sep -12 Sal2'!W73</f>
        <v>0</v>
      </c>
      <c r="O29" s="1453"/>
    </row>
    <row r="30" spans="2:17" ht="15.75">
      <c r="B30" s="1720">
        <v>11</v>
      </c>
      <c r="C30" s="1412" t="s">
        <v>293</v>
      </c>
      <c r="D30" s="188">
        <v>2.4930000000000003</v>
      </c>
      <c r="E30" s="188">
        <f>D30</f>
        <v>2.4930000000000003</v>
      </c>
      <c r="F30" s="188"/>
      <c r="G30" s="188"/>
      <c r="H30" s="1863">
        <v>32.674949999999995</v>
      </c>
      <c r="I30" s="2476"/>
      <c r="J30" s="1453">
        <v>12.337333999999998</v>
      </c>
      <c r="K30" s="1453">
        <f>'[4]Revised projections for Empl Ex'!$D$24</f>
        <v>13.74</v>
      </c>
      <c r="L30" s="1719">
        <f>J30+K30</f>
        <v>26.077334</v>
      </c>
      <c r="M30" s="1719"/>
      <c r="N30" s="1453">
        <f>'[4]Revised projections for Empl Ex'!$F$24</f>
        <v>33.133458069767443</v>
      </c>
      <c r="O30" s="1453"/>
    </row>
    <row r="31" spans="2:17" ht="15.75" hidden="1" customHeight="1">
      <c r="B31" s="1720"/>
      <c r="C31" s="1412"/>
      <c r="D31" s="188"/>
      <c r="E31" s="188"/>
      <c r="F31" s="188"/>
      <c r="G31" s="188"/>
      <c r="H31" s="1863"/>
      <c r="I31" s="2476"/>
      <c r="J31" s="1453"/>
      <c r="K31" s="1453"/>
      <c r="L31" s="1719"/>
      <c r="M31" s="1719"/>
      <c r="N31" s="1453"/>
      <c r="O31" s="1453"/>
    </row>
    <row r="32" spans="2:17" ht="15.75" hidden="1" customHeight="1">
      <c r="B32" s="1720"/>
      <c r="C32" s="1412"/>
      <c r="D32" s="188"/>
      <c r="E32" s="188"/>
      <c r="F32" s="188"/>
      <c r="G32" s="188"/>
      <c r="H32" s="1863"/>
      <c r="I32" s="2476"/>
      <c r="J32" s="1453"/>
      <c r="K32" s="1453"/>
      <c r="L32" s="1719"/>
      <c r="M32" s="1719"/>
      <c r="N32" s="1453"/>
      <c r="O32" s="1453"/>
    </row>
    <row r="33" spans="2:15" ht="15.75">
      <c r="B33" s="1720">
        <v>12</v>
      </c>
      <c r="C33" s="1412" t="s">
        <v>2754</v>
      </c>
      <c r="D33" s="188">
        <v>0</v>
      </c>
      <c r="E33" s="188">
        <f>D33</f>
        <v>0</v>
      </c>
      <c r="F33" s="188">
        <f>('[2]Schedules of Accounts'!E16+'[2]Schedules of Accounts'!E12+'[2]Schedules of Accounts'!E17+'[2]Schedules of Accounts'!E18)/10^7</f>
        <v>89.397266200000004</v>
      </c>
      <c r="G33" s="188">
        <f>F33</f>
        <v>89.397266200000004</v>
      </c>
      <c r="H33" s="1863">
        <v>5.3613000000000008</v>
      </c>
      <c r="I33" s="2476"/>
      <c r="J33" s="1453">
        <v>1.4910218999999998</v>
      </c>
      <c r="K33" s="1453">
        <f>J33/J11*K11</f>
        <v>1.639113251158028</v>
      </c>
      <c r="L33" s="1719">
        <f>J33+K33</f>
        <v>3.1301351511580275</v>
      </c>
      <c r="M33" s="1719"/>
      <c r="N33" s="1453">
        <f>J33/J11*N11</f>
        <v>3.5327837002129865</v>
      </c>
      <c r="O33" s="1453"/>
    </row>
    <row r="34" spans="2:15" ht="15.75" hidden="1" customHeight="1">
      <c r="B34" s="1720"/>
      <c r="C34" s="1412"/>
      <c r="D34" s="188"/>
      <c r="E34" s="188"/>
      <c r="F34" s="188"/>
      <c r="G34" s="188"/>
      <c r="H34" s="1863"/>
      <c r="I34" s="2476"/>
      <c r="J34" s="1453"/>
      <c r="K34" s="1453"/>
      <c r="L34" s="1719"/>
      <c r="M34" s="1719"/>
      <c r="N34" s="1453"/>
      <c r="O34" s="1453"/>
    </row>
    <row r="35" spans="2:15" ht="15.75">
      <c r="B35" s="1720">
        <v>13</v>
      </c>
      <c r="C35" s="1412" t="s">
        <v>2663</v>
      </c>
      <c r="D35" s="188">
        <v>7.7699999999999991E-2</v>
      </c>
      <c r="E35" s="188">
        <f>D35</f>
        <v>7.7699999999999991E-2</v>
      </c>
      <c r="F35" s="188"/>
      <c r="G35" s="188"/>
      <c r="H35" s="1863">
        <v>0</v>
      </c>
      <c r="I35" s="2476"/>
      <c r="J35" s="1453">
        <v>0</v>
      </c>
      <c r="K35" s="1453">
        <f>'[4]Revised projections for Empl Ex'!$D$26</f>
        <v>10.52</v>
      </c>
      <c r="L35" s="1719">
        <f>J35+K35</f>
        <v>10.52</v>
      </c>
      <c r="M35" s="1719"/>
      <c r="N35" s="1453">
        <f>'[4]Revised projections for Empl Ex'!$F$26</f>
        <v>13.32</v>
      </c>
      <c r="O35" s="1453"/>
    </row>
    <row r="36" spans="2:15" ht="15.75">
      <c r="B36" s="1718">
        <v>14</v>
      </c>
      <c r="C36" s="15" t="s">
        <v>1033</v>
      </c>
      <c r="D36" s="1899">
        <f>SUM(D30:D35)</f>
        <v>2.5707000000000004</v>
      </c>
      <c r="E36" s="1899">
        <f>SUM(E30:E35)</f>
        <v>2.5707000000000004</v>
      </c>
      <c r="F36" s="1899">
        <f>SUM(F30:F35)</f>
        <v>89.397266200000004</v>
      </c>
      <c r="G36" s="1899">
        <f>SUM(G30:G35)</f>
        <v>89.397266200000004</v>
      </c>
      <c r="H36" s="1455">
        <f>SUM(H30:H35)</f>
        <v>38.036249999999995</v>
      </c>
      <c r="I36" s="2476"/>
      <c r="J36" s="1455">
        <f>SUM(J30:J35)</f>
        <v>13.828355899999998</v>
      </c>
      <c r="K36" s="1455">
        <f>SUM(K30:K35)</f>
        <v>25.899113251158028</v>
      </c>
      <c r="L36" s="1455">
        <f>SUM(L30:L35)</f>
        <v>39.727469151158033</v>
      </c>
      <c r="M36" s="1455"/>
      <c r="N36" s="1455">
        <f>SUM(N30:N35)</f>
        <v>49.986241769980431</v>
      </c>
      <c r="O36" s="1455"/>
    </row>
    <row r="37" spans="2:15" ht="15.75">
      <c r="B37" s="1718">
        <v>15</v>
      </c>
      <c r="C37" s="15" t="s">
        <v>287</v>
      </c>
      <c r="D37" s="1897">
        <f>D20+D28+D36</f>
        <v>278.8159</v>
      </c>
      <c r="E37" s="1897">
        <f>E20+E28+E36</f>
        <v>118.88270000000001</v>
      </c>
      <c r="F37" s="1897">
        <f>F20+F28+F36</f>
        <v>264.22717740000002</v>
      </c>
      <c r="G37" s="1897">
        <f>G20+G28+G36</f>
        <v>264.22717740000002</v>
      </c>
      <c r="H37" s="1901">
        <f>H20+H28+H36</f>
        <v>352.58899999999994</v>
      </c>
      <c r="I37" s="2476"/>
      <c r="J37" s="1454">
        <f>J20+J28+J36</f>
        <v>102.90146649999997</v>
      </c>
      <c r="K37" s="1454">
        <f>K20+K28+K36</f>
        <v>140.72284781215802</v>
      </c>
      <c r="L37" s="1454">
        <f>L20+L28+L36</f>
        <v>243.62431431215805</v>
      </c>
      <c r="M37" s="1454">
        <f>M20+M21</f>
        <v>339.68285526099999</v>
      </c>
      <c r="N37" s="1454">
        <f>N20+N28+N36</f>
        <v>286.74733934422039</v>
      </c>
      <c r="O37" s="1454">
        <f>O20+O21</f>
        <v>393.46109757423994</v>
      </c>
    </row>
    <row r="38" spans="2:15" ht="15.75">
      <c r="B38" s="1720">
        <v>16</v>
      </c>
      <c r="C38" s="1412" t="s">
        <v>294</v>
      </c>
      <c r="D38" s="188">
        <v>53.351071942123959</v>
      </c>
      <c r="E38" s="188"/>
      <c r="F38" s="188">
        <f>'[2]Schedules of Accounts'!E27/10^7</f>
        <v>71.481984100000005</v>
      </c>
      <c r="G38" s="188">
        <f>F38</f>
        <v>71.481984100000005</v>
      </c>
      <c r="H38" s="1453">
        <v>95.347475064565046</v>
      </c>
      <c r="I38" s="2476"/>
      <c r="J38" s="1563">
        <v>3.7550821999999999</v>
      </c>
      <c r="K38" s="1453">
        <f>'[4]Revised projections for Empl Ex'!$D$28</f>
        <v>20.2449178</v>
      </c>
      <c r="L38" s="1719">
        <f>SUM(J38:K38)</f>
        <v>24</v>
      </c>
      <c r="M38" s="1719">
        <v>24</v>
      </c>
      <c r="N38" s="1719">
        <f>'[4]Revised projections for Empl Ex'!$F$28</f>
        <v>26.400000000000002</v>
      </c>
      <c r="O38" s="1719">
        <v>26.4</v>
      </c>
    </row>
    <row r="39" spans="2:15" ht="15.75">
      <c r="B39" s="1718">
        <v>17</v>
      </c>
      <c r="C39" s="15" t="s">
        <v>2683</v>
      </c>
      <c r="D39" s="1899">
        <f>D37-D38</f>
        <v>225.46482805787605</v>
      </c>
      <c r="E39" s="1899">
        <f>E37-E38</f>
        <v>118.88270000000001</v>
      </c>
      <c r="F39" s="1899">
        <f>F37-F38</f>
        <v>192.74519330000001</v>
      </c>
      <c r="G39" s="1899">
        <f>G37-G38</f>
        <v>192.74519330000001</v>
      </c>
      <c r="H39" s="1455">
        <f>H37-H38</f>
        <v>257.24152493543488</v>
      </c>
      <c r="I39" s="2476"/>
      <c r="J39" s="1455">
        <f t="shared" ref="J39:O39" si="0">J37-J38</f>
        <v>99.146384299999966</v>
      </c>
      <c r="K39" s="1455">
        <f t="shared" si="0"/>
        <v>120.47793001215803</v>
      </c>
      <c r="L39" s="1455">
        <f t="shared" si="0"/>
        <v>219.62431431215805</v>
      </c>
      <c r="M39" s="1455">
        <f t="shared" si="0"/>
        <v>315.68285526099999</v>
      </c>
      <c r="N39" s="1455">
        <f t="shared" si="0"/>
        <v>260.34733934422042</v>
      </c>
      <c r="O39" s="1455">
        <f t="shared" si="0"/>
        <v>367.06109757423997</v>
      </c>
    </row>
    <row r="40" spans="2:15" ht="15.75" hidden="1" customHeight="1">
      <c r="B40" s="1720"/>
      <c r="C40" s="1412"/>
      <c r="D40" s="188"/>
      <c r="E40" s="188"/>
      <c r="F40" s="188"/>
      <c r="G40" s="188"/>
      <c r="H40" s="1863"/>
      <c r="I40" s="2476"/>
      <c r="J40" s="1563"/>
      <c r="K40" s="1453"/>
      <c r="L40" s="1719"/>
      <c r="M40" s="1719"/>
      <c r="N40" s="1719"/>
      <c r="O40" s="1719"/>
    </row>
    <row r="41" spans="2:15" ht="15.75" hidden="1" customHeight="1">
      <c r="B41" s="1718">
        <v>21</v>
      </c>
      <c r="C41" s="15" t="s">
        <v>2684</v>
      </c>
      <c r="D41" s="1899">
        <f>D39+D40</f>
        <v>225.46482805787605</v>
      </c>
      <c r="E41" s="1899">
        <f>E39+E40</f>
        <v>118.88270000000001</v>
      </c>
      <c r="F41" s="1899">
        <f>F39+F40</f>
        <v>192.74519330000001</v>
      </c>
      <c r="G41" s="1899">
        <f>G39+G40</f>
        <v>192.74519330000001</v>
      </c>
      <c r="H41" s="1455">
        <f>H39+H40</f>
        <v>257.24152493543488</v>
      </c>
      <c r="I41" s="2476"/>
      <c r="J41" s="1455">
        <f>J39+J40</f>
        <v>99.146384299999966</v>
      </c>
      <c r="K41" s="1455">
        <f>K39+K40</f>
        <v>120.47793001215803</v>
      </c>
      <c r="L41" s="1455">
        <f>L39+L40</f>
        <v>219.62431431215805</v>
      </c>
      <c r="M41" s="1455">
        <f>M39+M40</f>
        <v>315.68285526099999</v>
      </c>
      <c r="N41" s="1455">
        <f>N39+N40</f>
        <v>260.34733934422042</v>
      </c>
      <c r="O41" s="1455"/>
    </row>
    <row r="42" spans="2:15" ht="15.75">
      <c r="B42" s="1720">
        <v>18</v>
      </c>
      <c r="C42" s="1412" t="s">
        <v>2685</v>
      </c>
      <c r="D42" s="1897">
        <v>0</v>
      </c>
      <c r="E42" s="1897"/>
      <c r="F42" s="1897"/>
      <c r="G42" s="1897"/>
      <c r="H42" s="1901">
        <v>26.167499999999997</v>
      </c>
      <c r="I42" s="2476"/>
      <c r="J42" s="1563">
        <v>0</v>
      </c>
      <c r="K42" s="1453">
        <f>'[4]Revised projections for Empl Ex'!$D$30</f>
        <v>12.87</v>
      </c>
      <c r="L42" s="1453">
        <f>J42+K42</f>
        <v>12.87</v>
      </c>
      <c r="M42" s="1453">
        <v>12.87</v>
      </c>
      <c r="N42" s="1719">
        <f>'[4]Revised projections for Empl Ex'!$F$30</f>
        <v>12.87</v>
      </c>
      <c r="O42" s="1719">
        <v>12.87</v>
      </c>
    </row>
    <row r="43" spans="2:15" ht="15.75">
      <c r="B43" s="1718">
        <v>19</v>
      </c>
      <c r="C43" s="15" t="s">
        <v>287</v>
      </c>
      <c r="D43" s="1899">
        <f>D41+D42</f>
        <v>225.46482805787605</v>
      </c>
      <c r="E43" s="1899">
        <f>E41+E42</f>
        <v>118.88270000000001</v>
      </c>
      <c r="F43" s="1899">
        <f>F41+F42</f>
        <v>192.74519330000001</v>
      </c>
      <c r="G43" s="1899">
        <f>G41+G42</f>
        <v>192.74519330000001</v>
      </c>
      <c r="H43" s="1455">
        <f>H41+H42</f>
        <v>283.4090249354349</v>
      </c>
      <c r="I43" s="1455">
        <v>211.12</v>
      </c>
      <c r="J43" s="1455">
        <f>J41+J42</f>
        <v>99.146384299999966</v>
      </c>
      <c r="K43" s="1455">
        <f>K41+K42</f>
        <v>133.34793001215803</v>
      </c>
      <c r="L43" s="1455">
        <f>L41+L42</f>
        <v>232.49431431215805</v>
      </c>
      <c r="M43" s="1455">
        <f>M39+M42</f>
        <v>328.55285526099999</v>
      </c>
      <c r="N43" s="1455">
        <f>N41+N42</f>
        <v>273.21733934422042</v>
      </c>
      <c r="O43" s="1455">
        <f>O39+O42</f>
        <v>379.93109757423997</v>
      </c>
    </row>
    <row r="44" spans="2:15" ht="20.25" hidden="1" customHeight="1">
      <c r="G44" s="1907"/>
    </row>
    <row r="45" spans="2:15" ht="20.25" hidden="1" customHeight="1">
      <c r="B45" s="8" t="s">
        <v>1074</v>
      </c>
      <c r="D45" s="2198"/>
      <c r="E45" s="2198"/>
      <c r="F45" s="1908"/>
      <c r="G45" s="1908"/>
      <c r="H45" s="1122"/>
      <c r="I45" s="6"/>
      <c r="J45" s="6"/>
    </row>
    <row r="46" spans="2:15" ht="20.25" hidden="1" customHeight="1">
      <c r="B46" s="1909">
        <v>1</v>
      </c>
      <c r="C46" s="2" t="s">
        <v>1058</v>
      </c>
      <c r="D46" s="61">
        <f>'[2]Schedules of Accounts'!E12/10^7</f>
        <v>0.90403520000000004</v>
      </c>
      <c r="E46" s="1910"/>
      <c r="F46" s="1911"/>
      <c r="G46" s="1911"/>
      <c r="H46" s="1122"/>
      <c r="I46" s="6"/>
      <c r="J46" s="1122"/>
    </row>
    <row r="47" spans="2:15" ht="20.25" hidden="1" customHeight="1">
      <c r="B47" s="1909">
        <v>2</v>
      </c>
      <c r="C47" s="2" t="s">
        <v>1062</v>
      </c>
      <c r="D47" s="61">
        <f>'[2]Schedules of Accounts'!E16/10^7</f>
        <v>0.2496546</v>
      </c>
      <c r="F47" s="1122"/>
      <c r="G47" s="6"/>
      <c r="H47" s="1122"/>
      <c r="I47" s="6"/>
      <c r="J47" s="1122"/>
      <c r="L47" s="61"/>
      <c r="M47" s="61"/>
      <c r="N47" s="61"/>
      <c r="O47" s="61"/>
    </row>
    <row r="48" spans="2:15" ht="20.25" hidden="1" customHeight="1">
      <c r="B48" s="1909">
        <v>3</v>
      </c>
      <c r="C48" s="2" t="s">
        <v>288</v>
      </c>
      <c r="D48" s="61">
        <f>'[2]Schedules of Accounts'!E17/10^7</f>
        <v>32.343576400000003</v>
      </c>
      <c r="G48" s="61"/>
      <c r="J48" s="61"/>
      <c r="L48" s="61"/>
      <c r="M48" s="61"/>
      <c r="N48" s="61"/>
      <c r="O48" s="61"/>
    </row>
    <row r="49" spans="2:15" ht="20.25" hidden="1" customHeight="1">
      <c r="B49" s="1909" t="s">
        <v>1433</v>
      </c>
      <c r="C49" s="2" t="s">
        <v>1435</v>
      </c>
      <c r="D49" s="61">
        <v>30.19</v>
      </c>
      <c r="L49" s="61"/>
      <c r="M49" s="61"/>
      <c r="N49" s="61"/>
      <c r="O49" s="61"/>
    </row>
    <row r="50" spans="2:15" ht="20.25" hidden="1" customHeight="1">
      <c r="B50" s="1909" t="s">
        <v>1434</v>
      </c>
      <c r="C50" s="2" t="s">
        <v>1436</v>
      </c>
      <c r="D50" s="61">
        <v>2.16</v>
      </c>
      <c r="L50" s="61"/>
      <c r="M50" s="61"/>
      <c r="N50" s="61"/>
      <c r="O50" s="61"/>
    </row>
    <row r="51" spans="2:15" ht="33.75" hidden="1" customHeight="1">
      <c r="B51" s="1909">
        <v>4</v>
      </c>
      <c r="C51" s="1912" t="s">
        <v>1432</v>
      </c>
      <c r="D51" s="61">
        <f>'[2]Schedules of Accounts'!E18/10^7</f>
        <v>55.9</v>
      </c>
      <c r="E51" s="61">
        <f>D51+D48</f>
        <v>88.243576399999995</v>
      </c>
      <c r="L51" s="61"/>
      <c r="M51" s="61"/>
    </row>
    <row r="52" spans="2:15" ht="20.25" hidden="1" customHeight="1">
      <c r="D52" s="61"/>
      <c r="J52" s="61"/>
      <c r="K52" s="61"/>
      <c r="L52" s="61"/>
      <c r="M52" s="61"/>
      <c r="N52" s="61"/>
      <c r="O52" s="61"/>
    </row>
    <row r="53" spans="2:15" ht="15" hidden="1" customHeight="1">
      <c r="B53" s="2" t="s">
        <v>1437</v>
      </c>
      <c r="J53" s="61"/>
      <c r="K53" s="61"/>
      <c r="L53" s="61"/>
      <c r="M53" s="61"/>
      <c r="N53" s="61"/>
      <c r="O53" s="61"/>
    </row>
    <row r="54" spans="2:15" ht="15" hidden="1" customHeight="1">
      <c r="J54" s="61"/>
      <c r="K54" s="61"/>
      <c r="L54" s="61"/>
      <c r="M54" s="61"/>
      <c r="N54" s="61"/>
      <c r="O54" s="61"/>
    </row>
    <row r="55" spans="2:15" ht="15" hidden="1" customHeight="1">
      <c r="H55" s="61"/>
    </row>
    <row r="56" spans="2:15" ht="15" hidden="1" customHeight="1">
      <c r="H56" s="177"/>
    </row>
    <row r="57" spans="2:15" ht="15" hidden="1" customHeight="1"/>
    <row r="58" spans="2:15" ht="15" hidden="1" customHeight="1">
      <c r="B58" s="2" t="s">
        <v>425</v>
      </c>
    </row>
    <row r="59" spans="2:15" ht="15" hidden="1" customHeight="1">
      <c r="B59" s="3">
        <v>1</v>
      </c>
      <c r="C59" s="2" t="s">
        <v>1044</v>
      </c>
      <c r="D59" s="61"/>
    </row>
    <row r="60" spans="2:15" ht="15" hidden="1" customHeight="1">
      <c r="B60" s="3">
        <v>2</v>
      </c>
      <c r="C60" s="2" t="s">
        <v>1151</v>
      </c>
    </row>
    <row r="61" spans="2:15" ht="15" hidden="1" customHeight="1">
      <c r="B61" s="3">
        <v>3</v>
      </c>
      <c r="C61" s="2" t="s">
        <v>1045</v>
      </c>
    </row>
    <row r="62" spans="2:15" ht="15" hidden="1" customHeight="1">
      <c r="B62" s="3">
        <v>4</v>
      </c>
      <c r="C62" s="2" t="s">
        <v>1152</v>
      </c>
    </row>
    <row r="63" spans="2:15" ht="15" hidden="1" customHeight="1">
      <c r="B63" s="3">
        <v>5</v>
      </c>
      <c r="C63" s="2" t="s">
        <v>1046</v>
      </c>
    </row>
    <row r="64" spans="2:15" ht="15" hidden="1" customHeight="1">
      <c r="B64" s="2474" t="s">
        <v>1003</v>
      </c>
      <c r="C64" s="2473" t="s">
        <v>331</v>
      </c>
      <c r="D64" s="2472" t="s">
        <v>425</v>
      </c>
      <c r="E64" s="2472"/>
      <c r="F64" s="2472" t="s">
        <v>2601</v>
      </c>
      <c r="G64" s="2472"/>
      <c r="H64" s="2472"/>
      <c r="I64" s="2472"/>
      <c r="J64" s="480" t="s">
        <v>2590</v>
      </c>
    </row>
    <row r="65" spans="2:10" ht="15" hidden="1" customHeight="1">
      <c r="B65" s="2474"/>
      <c r="C65" s="2473"/>
      <c r="D65" s="2194" t="s">
        <v>1036</v>
      </c>
      <c r="E65" s="2194" t="s">
        <v>1037</v>
      </c>
      <c r="F65" s="2194" t="s">
        <v>1036</v>
      </c>
      <c r="G65" s="2194" t="s">
        <v>1943</v>
      </c>
      <c r="H65" s="2194" t="s">
        <v>1944</v>
      </c>
      <c r="I65" s="2194" t="s">
        <v>1942</v>
      </c>
      <c r="J65" s="2194" t="s">
        <v>1040</v>
      </c>
    </row>
    <row r="66" spans="2:10" ht="15" hidden="1" customHeight="1">
      <c r="B66" s="65">
        <v>1</v>
      </c>
      <c r="C66" s="293" t="s">
        <v>288</v>
      </c>
      <c r="D66" s="115">
        <f>E28+E36</f>
        <v>26.572700000000005</v>
      </c>
      <c r="E66" s="115">
        <f>F36</f>
        <v>89.397266200000004</v>
      </c>
      <c r="F66" s="115">
        <f>I28+I36</f>
        <v>0</v>
      </c>
      <c r="G66" s="115">
        <f>J28-J25+J36</f>
        <v>27.582345799999999</v>
      </c>
      <c r="H66" s="115">
        <f>K28-K25+K36</f>
        <v>46.359113251158028</v>
      </c>
      <c r="I66" s="115">
        <f>L28-L25+L36</f>
        <v>73.941459051158034</v>
      </c>
      <c r="J66" s="115">
        <f>N28-N25+N36</f>
        <v>77.286241769980435</v>
      </c>
    </row>
    <row r="67" spans="2:10" ht="30.75" hidden="1" customHeight="1">
      <c r="B67" s="65">
        <v>2</v>
      </c>
      <c r="C67" s="20" t="s">
        <v>1945</v>
      </c>
      <c r="D67" s="115">
        <f>E42</f>
        <v>0</v>
      </c>
      <c r="E67" s="115">
        <f>G42</f>
        <v>0</v>
      </c>
      <c r="F67" s="115">
        <f>I42</f>
        <v>0</v>
      </c>
      <c r="G67" s="115">
        <f>J42</f>
        <v>0</v>
      </c>
      <c r="H67" s="115">
        <f>K42</f>
        <v>12.87</v>
      </c>
      <c r="I67" s="115">
        <f>L42</f>
        <v>12.87</v>
      </c>
      <c r="J67" s="115">
        <f>N42</f>
        <v>12.87</v>
      </c>
    </row>
    <row r="68" spans="2:10" ht="15" hidden="1" customHeight="1">
      <c r="B68" s="65">
        <v>3</v>
      </c>
      <c r="C68" s="293" t="s">
        <v>1948</v>
      </c>
      <c r="D68" s="115">
        <f ca="1">D69-D70</f>
        <v>92.31</v>
      </c>
      <c r="E68" s="1913">
        <f>E69-E70</f>
        <v>103.34792709999999</v>
      </c>
      <c r="F68" s="115">
        <f>I20</f>
        <v>0</v>
      </c>
      <c r="G68" s="115">
        <f>G69-G70</f>
        <v>71.564038499999981</v>
      </c>
      <c r="H68" s="115">
        <f>H69-H70</f>
        <v>74.118816761000005</v>
      </c>
      <c r="I68" s="115">
        <f>I69-I70</f>
        <v>145.68285526100001</v>
      </c>
      <c r="J68" s="115">
        <f>J69-J70</f>
        <v>183.06109757423997</v>
      </c>
    </row>
    <row r="69" spans="2:10" ht="15" hidden="1" customHeight="1">
      <c r="B69" s="65" t="s">
        <v>163</v>
      </c>
      <c r="C69" s="293" t="s">
        <v>1949</v>
      </c>
      <c r="D69" s="115">
        <f ca="1">D68</f>
        <v>92.31</v>
      </c>
      <c r="E69" s="115">
        <f>G20+G28+G40</f>
        <v>174.8299112</v>
      </c>
      <c r="F69" s="115">
        <f>F68</f>
        <v>0</v>
      </c>
      <c r="G69" s="115">
        <f>J20+J25+J40</f>
        <v>75.319120699999985</v>
      </c>
      <c r="H69" s="115">
        <f>K20+K25+K40</f>
        <v>94.363734561000001</v>
      </c>
      <c r="I69" s="115">
        <f>L20+L25+L40</f>
        <v>169.68285526100001</v>
      </c>
      <c r="J69" s="115">
        <f>N20+N25+N40</f>
        <v>209.46109757423997</v>
      </c>
    </row>
    <row r="70" spans="2:10" ht="15" hidden="1" customHeight="1">
      <c r="B70" s="65" t="s">
        <v>164</v>
      </c>
      <c r="C70" s="293" t="s">
        <v>1750</v>
      </c>
      <c r="D70" s="115">
        <v>0</v>
      </c>
      <c r="E70" s="115">
        <f>G38</f>
        <v>71.481984100000005</v>
      </c>
      <c r="F70" s="65">
        <v>0</v>
      </c>
      <c r="G70" s="115">
        <f>J38</f>
        <v>3.7550821999999999</v>
      </c>
      <c r="H70" s="115">
        <f>K38</f>
        <v>20.2449178</v>
      </c>
      <c r="I70" s="115">
        <f>L38</f>
        <v>24</v>
      </c>
      <c r="J70" s="115">
        <f>N38</f>
        <v>26.400000000000002</v>
      </c>
    </row>
    <row r="71" spans="2:10" ht="30.75" hidden="1" customHeight="1">
      <c r="B71" s="65">
        <v>4</v>
      </c>
      <c r="C71" s="20" t="s">
        <v>1947</v>
      </c>
      <c r="D71" s="65"/>
      <c r="E71" s="65"/>
      <c r="F71" s="65"/>
      <c r="G71" s="65"/>
      <c r="H71" s="65"/>
      <c r="I71" s="65"/>
      <c r="J71" s="115">
        <f>'[2]F1(a)'!N24</f>
        <v>2.6589122399999996E-6</v>
      </c>
    </row>
    <row r="72" spans="2:10" ht="15" hidden="1" customHeight="1">
      <c r="B72" s="2206">
        <v>5</v>
      </c>
      <c r="C72" s="967" t="s">
        <v>1946</v>
      </c>
      <c r="D72" s="969">
        <f t="shared" ref="D72:J72" ca="1" si="1">SUM(D66,D67,D68,D71)</f>
        <v>118.8827</v>
      </c>
      <c r="E72" s="969">
        <f t="shared" si="1"/>
        <v>192.74519329999998</v>
      </c>
      <c r="F72" s="969">
        <f t="shared" si="1"/>
        <v>0</v>
      </c>
      <c r="G72" s="969">
        <f t="shared" si="1"/>
        <v>99.14638429999998</v>
      </c>
      <c r="H72" s="969">
        <f t="shared" si="1"/>
        <v>133.34793001215803</v>
      </c>
      <c r="I72" s="969">
        <f t="shared" si="1"/>
        <v>232.49431431215805</v>
      </c>
      <c r="J72" s="969">
        <f t="shared" si="1"/>
        <v>273.21734200313267</v>
      </c>
    </row>
    <row r="73" spans="2:10" ht="15" hidden="1" customHeight="1"/>
    <row r="76" spans="2:10" ht="15" customHeight="1">
      <c r="D76" s="1914"/>
    </row>
    <row r="77" spans="2:10" ht="15" customHeight="1">
      <c r="D77" s="1914"/>
    </row>
    <row r="80" spans="2:10" ht="15" customHeight="1">
      <c r="D80" s="1914"/>
    </row>
  </sheetData>
  <sheetProtection selectLockedCells="1" selectUnlockedCells="1"/>
  <mergeCells count="17">
    <mergeCell ref="D64:E64"/>
    <mergeCell ref="F64:I64"/>
    <mergeCell ref="C64:C65"/>
    <mergeCell ref="B64:B65"/>
    <mergeCell ref="F13:F15"/>
    <mergeCell ref="I10:I42"/>
    <mergeCell ref="G13:G15"/>
    <mergeCell ref="N7:O7"/>
    <mergeCell ref="B1:O1"/>
    <mergeCell ref="B2:O2"/>
    <mergeCell ref="B4:O4"/>
    <mergeCell ref="B5:O5"/>
    <mergeCell ref="C7:C8"/>
    <mergeCell ref="D7:G7"/>
    <mergeCell ref="B7:B8"/>
    <mergeCell ref="H7:M7"/>
    <mergeCell ref="N3:U3"/>
  </mergeCells>
  <printOptions horizontalCentered="1"/>
  <pageMargins left="0.61" right="0.5" top="0.63" bottom="0.75" header="0.3" footer="0.3"/>
  <pageSetup paperSize="9" scale="86" firstPageNumber="3" orientation="landscape" useFirstPageNumber="1" r:id="rId1"/>
  <headerFooter>
    <oddFooter>&amp;R&amp;P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9"/>
  <sheetViews>
    <sheetView view="pageBreakPreview" topLeftCell="A5" zoomScale="69" zoomScaleSheetLayoutView="69" workbookViewId="0">
      <selection activeCell="J76" sqref="J76"/>
    </sheetView>
  </sheetViews>
  <sheetFormatPr defaultRowHeight="15" customHeight="1"/>
  <cols>
    <col min="1" max="1" width="5.28515625" style="2" customWidth="1"/>
    <col min="2" max="2" width="9.42578125" style="2" customWidth="1"/>
    <col min="3" max="3" width="33.28515625" style="2" customWidth="1"/>
    <col min="4" max="4" width="12.140625" style="2" hidden="1" customWidth="1"/>
    <col min="5" max="7" width="14.5703125" style="2" hidden="1" customWidth="1"/>
    <col min="8" max="8" width="14.140625" style="2" customWidth="1"/>
    <col min="9" max="9" width="15.42578125" style="2" customWidth="1"/>
    <col min="10" max="10" width="25.140625" style="2" bestFit="1" customWidth="1"/>
    <col min="11" max="11" width="19.85546875" style="2" customWidth="1"/>
    <col min="12" max="12" width="13.85546875" style="2" customWidth="1"/>
    <col min="13" max="13" width="24.85546875" style="2" customWidth="1"/>
    <col min="14" max="14" width="11.7109375" style="2" customWidth="1"/>
    <col min="15" max="15" width="10.140625" style="2" hidden="1" customWidth="1"/>
    <col min="16" max="16" width="4" style="2" hidden="1" customWidth="1"/>
    <col min="17" max="17" width="20.85546875" style="2" hidden="1" customWidth="1"/>
    <col min="18" max="18" width="17.140625" style="2" hidden="1" customWidth="1"/>
    <col min="19" max="19" width="9.140625" style="2" hidden="1" customWidth="1"/>
    <col min="20" max="21" width="9.140625" style="2" customWidth="1"/>
    <col min="22" max="16384" width="9.140625" style="2"/>
  </cols>
  <sheetData>
    <row r="1" spans="2:19" ht="15.75" customHeight="1">
      <c r="B1" s="2418" t="s">
        <v>2549</v>
      </c>
      <c r="C1" s="2418"/>
      <c r="D1" s="2418"/>
      <c r="E1" s="2418"/>
      <c r="F1" s="2418"/>
      <c r="G1" s="2418"/>
      <c r="H1" s="2418"/>
      <c r="I1" s="2418"/>
      <c r="J1" s="2418"/>
      <c r="K1" s="2418"/>
      <c r="L1" s="2418"/>
      <c r="M1" s="2418"/>
      <c r="Q1" s="1848" t="s">
        <v>331</v>
      </c>
      <c r="R1" s="1848" t="s">
        <v>2644</v>
      </c>
      <c r="S1" s="1848" t="s">
        <v>2615</v>
      </c>
    </row>
    <row r="2" spans="2:19" ht="24" customHeight="1">
      <c r="B2" s="2419" t="s">
        <v>2689</v>
      </c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Q2" s="1456" t="s">
        <v>2389</v>
      </c>
      <c r="R2" s="966">
        <v>0.2</v>
      </c>
      <c r="S2" s="966">
        <v>0.2</v>
      </c>
    </row>
    <row r="3" spans="2:19" ht="15.75" customHeight="1">
      <c r="B3" s="2419" t="s">
        <v>2572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  <c r="Q3" s="1452"/>
      <c r="R3" s="1451"/>
      <c r="S3" s="205"/>
    </row>
    <row r="4" spans="2:19" ht="13.5" customHeight="1">
      <c r="B4" s="2435" t="s">
        <v>1022</v>
      </c>
      <c r="C4" s="2435"/>
      <c r="D4" s="2435"/>
      <c r="E4" s="2435"/>
      <c r="F4" s="2435"/>
      <c r="G4" s="2435"/>
      <c r="H4" s="2435"/>
      <c r="I4" s="2435"/>
      <c r="J4" s="2435"/>
      <c r="K4" s="2435"/>
      <c r="L4" s="2435"/>
      <c r="M4" s="2435"/>
      <c r="N4" s="1451"/>
      <c r="O4" s="205"/>
    </row>
    <row r="5" spans="2:19" ht="16.5" thickBot="1">
      <c r="B5" s="1845"/>
      <c r="C5" s="1845"/>
      <c r="I5" s="1845"/>
      <c r="J5" s="1845"/>
      <c r="M5" s="1855" t="s">
        <v>93</v>
      </c>
      <c r="N5" s="1451"/>
      <c r="O5" s="205"/>
      <c r="Q5" s="1845"/>
      <c r="R5" s="1845" t="s">
        <v>1438</v>
      </c>
    </row>
    <row r="6" spans="2:19" s="1845" customFormat="1" ht="32.25" customHeight="1">
      <c r="B6" s="2477" t="s">
        <v>1003</v>
      </c>
      <c r="C6" s="2452" t="s">
        <v>282</v>
      </c>
      <c r="D6" s="2452" t="s">
        <v>1034</v>
      </c>
      <c r="E6" s="2452"/>
      <c r="F6" s="2452"/>
      <c r="G6" s="2452"/>
      <c r="H6" s="2452" t="s">
        <v>2591</v>
      </c>
      <c r="I6" s="2452"/>
      <c r="J6" s="2452"/>
      <c r="K6" s="2452"/>
      <c r="L6" s="2452"/>
      <c r="M6" s="2142" t="s">
        <v>2592</v>
      </c>
    </row>
    <row r="7" spans="2:19" s="1845" customFormat="1" ht="37.5" customHeight="1">
      <c r="B7" s="2478"/>
      <c r="C7" s="2443"/>
      <c r="D7" s="2140" t="s">
        <v>1035</v>
      </c>
      <c r="E7" s="2140" t="s">
        <v>1036</v>
      </c>
      <c r="F7" s="2140" t="s">
        <v>1038</v>
      </c>
      <c r="G7" s="2140" t="s">
        <v>1037</v>
      </c>
      <c r="H7" s="2140" t="s">
        <v>1035</v>
      </c>
      <c r="I7" s="2140" t="s">
        <v>1036</v>
      </c>
      <c r="J7" s="2140" t="s">
        <v>1047</v>
      </c>
      <c r="K7" s="2140" t="s">
        <v>2566</v>
      </c>
      <c r="L7" s="2140" t="s">
        <v>287</v>
      </c>
      <c r="M7" s="2141" t="s">
        <v>1040</v>
      </c>
    </row>
    <row r="8" spans="2:19" s="1845" customFormat="1" ht="19.5" customHeight="1">
      <c r="B8" s="2143"/>
      <c r="C8" s="2140" t="s">
        <v>2553</v>
      </c>
      <c r="D8" s="2140">
        <v>1</v>
      </c>
      <c r="E8" s="2140">
        <v>2</v>
      </c>
      <c r="F8" s="2140">
        <v>3</v>
      </c>
      <c r="G8" s="2140">
        <v>4</v>
      </c>
      <c r="H8" s="2140">
        <v>1</v>
      </c>
      <c r="I8" s="2140">
        <v>2</v>
      </c>
      <c r="J8" s="2140">
        <v>3</v>
      </c>
      <c r="K8" s="2140">
        <v>4</v>
      </c>
      <c r="L8" s="2140" t="s">
        <v>2578</v>
      </c>
      <c r="M8" s="2141">
        <v>6</v>
      </c>
    </row>
    <row r="9" spans="2:19" ht="27.75" customHeight="1">
      <c r="B9" s="1894" t="s">
        <v>1030</v>
      </c>
      <c r="C9" s="50" t="s">
        <v>1066</v>
      </c>
      <c r="D9" s="485"/>
      <c r="E9" s="485"/>
      <c r="F9" s="485"/>
      <c r="G9" s="485"/>
      <c r="H9" s="1719"/>
      <c r="I9" s="2476"/>
      <c r="J9" s="1453"/>
      <c r="K9" s="1453"/>
      <c r="L9" s="1719"/>
      <c r="M9" s="168"/>
    </row>
    <row r="10" spans="2:19" ht="15.75">
      <c r="B10" s="1844">
        <v>1</v>
      </c>
      <c r="C10" s="20" t="s">
        <v>283</v>
      </c>
      <c r="D10" s="188">
        <v>156.108</v>
      </c>
      <c r="E10" s="188"/>
      <c r="F10" s="188">
        <f>'Schedules of Accounts'!E5/10^7</f>
        <v>108.3032747</v>
      </c>
      <c r="G10" s="188">
        <f>F10</f>
        <v>108.3032747</v>
      </c>
      <c r="H10" s="1863">
        <v>187.81455</v>
      </c>
      <c r="I10" s="2476"/>
      <c r="J10" s="1453">
        <v>40.209403800000004</v>
      </c>
      <c r="K10" s="1453">
        <f>'[5]Revised projections for Empl Ex'!$D$7</f>
        <v>44.203084199999999</v>
      </c>
      <c r="L10" s="1719">
        <f t="shared" ref="L10:L15" si="0">J10+K10</f>
        <v>84.412487999999996</v>
      </c>
      <c r="M10" s="168">
        <f>'[5]Revised projections for Empl Ex'!$F$7</f>
        <v>95.270985851999995</v>
      </c>
    </row>
    <row r="11" spans="2:19" ht="15.75">
      <c r="B11" s="1844">
        <v>2</v>
      </c>
      <c r="C11" s="20" t="s">
        <v>284</v>
      </c>
      <c r="D11" s="188">
        <v>69.147000000000006</v>
      </c>
      <c r="E11" s="188"/>
      <c r="F11" s="188">
        <f>'Schedules of Accounts'!E7/10^7</f>
        <v>42.827336699999996</v>
      </c>
      <c r="G11" s="188">
        <f t="shared" ref="G11:G16" si="1">F11</f>
        <v>42.827336699999996</v>
      </c>
      <c r="H11" s="1863">
        <v>65.470649999999992</v>
      </c>
      <c r="I11" s="2476"/>
      <c r="J11" s="1453">
        <v>25.088905499999999</v>
      </c>
      <c r="K11" s="1453">
        <f>'[5]Revised projections for Empl Ex'!$D$12</f>
        <v>33.297327470999996</v>
      </c>
      <c r="L11" s="1719">
        <f t="shared" si="0"/>
        <v>58.386232970999998</v>
      </c>
      <c r="M11" s="168">
        <f>'[5]Revised projections for Empl Ex'!$F$12</f>
        <v>78.122208398639984</v>
      </c>
      <c r="N11" s="1895"/>
      <c r="P11" s="61"/>
    </row>
    <row r="12" spans="2:19" ht="31.5">
      <c r="B12" s="1850">
        <v>3</v>
      </c>
      <c r="C12" s="1412" t="s">
        <v>2662</v>
      </c>
      <c r="D12" s="188">
        <v>15.366000000000001</v>
      </c>
      <c r="E12" s="188"/>
      <c r="F12" s="2475">
        <f>'Schedules of Accounts'!E8/10^7</f>
        <v>19.395567199999999</v>
      </c>
      <c r="G12" s="2475">
        <f t="shared" si="1"/>
        <v>19.395567199999999</v>
      </c>
      <c r="H12" s="1863">
        <f>22.6527+3.38</f>
        <v>26.032699999999998</v>
      </c>
      <c r="I12" s="2476"/>
      <c r="J12" s="1863">
        <v>7.8939135000000018</v>
      </c>
      <c r="K12" s="1453">
        <f>'[5]Revised projections for Empl Ex'!$D$18</f>
        <v>14.264725260000002</v>
      </c>
      <c r="L12" s="1719">
        <f t="shared" si="0"/>
        <v>22.158638760000002</v>
      </c>
      <c r="M12" s="168">
        <f>'[5]Revised projections for Empl Ex'!$F$18</f>
        <v>30.755095755599996</v>
      </c>
    </row>
    <row r="13" spans="2:19" ht="15.75" hidden="1" customHeight="1">
      <c r="B13" s="1850"/>
      <c r="C13" s="1412"/>
      <c r="D13" s="188">
        <v>2.4222000000000001</v>
      </c>
      <c r="E13" s="188"/>
      <c r="F13" s="2475"/>
      <c r="G13" s="2475"/>
      <c r="H13" s="1863"/>
      <c r="I13" s="2476"/>
      <c r="J13" s="1453"/>
      <c r="K13" s="1453"/>
      <c r="L13" s="1719"/>
      <c r="M13" s="168"/>
      <c r="P13" s="61"/>
    </row>
    <row r="14" spans="2:19" ht="15.75" hidden="1" customHeight="1">
      <c r="B14" s="1850"/>
      <c r="C14" s="1412"/>
      <c r="D14" s="188">
        <v>4</v>
      </c>
      <c r="E14" s="188"/>
      <c r="F14" s="2475"/>
      <c r="G14" s="2475"/>
      <c r="H14" s="1863"/>
      <c r="I14" s="2476"/>
      <c r="J14" s="1453"/>
      <c r="K14" s="1453"/>
      <c r="L14" s="1719"/>
      <c r="M14" s="168"/>
    </row>
    <row r="15" spans="2:19" ht="15.75">
      <c r="B15" s="1850">
        <v>4</v>
      </c>
      <c r="C15" s="1412" t="s">
        <v>286</v>
      </c>
      <c r="D15" s="188">
        <v>4</v>
      </c>
      <c r="E15" s="188"/>
      <c r="F15" s="188">
        <f>'Schedules of Accounts'!E6/10^7</f>
        <v>3.1117724</v>
      </c>
      <c r="G15" s="188">
        <f t="shared" si="1"/>
        <v>3.1117724</v>
      </c>
      <c r="H15" s="1863">
        <v>3.7432500000000002</v>
      </c>
      <c r="I15" s="2476"/>
      <c r="J15" s="1453">
        <v>1.4769767</v>
      </c>
      <c r="K15" s="1453">
        <f>'[5]Revised projections for Empl Ex'!$D$32</f>
        <v>1.9268718000000002</v>
      </c>
      <c r="L15" s="1719">
        <f t="shared" si="0"/>
        <v>3.4038485000000005</v>
      </c>
      <c r="M15" s="168">
        <f>'[5]Revised projections for Empl Ex'!$F$32</f>
        <v>3.9693559080000007</v>
      </c>
    </row>
    <row r="16" spans="2:19" ht="17.25" customHeight="1">
      <c r="B16" s="1850">
        <v>5</v>
      </c>
      <c r="C16" s="1412" t="s">
        <v>285</v>
      </c>
      <c r="D16" s="188">
        <v>1</v>
      </c>
      <c r="E16" s="188"/>
      <c r="F16" s="188">
        <f>'Schedules of Accounts'!E11/10^7</f>
        <v>1.1073852</v>
      </c>
      <c r="G16" s="188">
        <f t="shared" si="1"/>
        <v>1.1073852</v>
      </c>
      <c r="H16" s="1863">
        <v>1.2799499999999999</v>
      </c>
      <c r="I16" s="2476"/>
      <c r="J16" s="1453">
        <v>0.64992119999999998</v>
      </c>
      <c r="K16" s="1453">
        <f>'[5]Revised projections for Empl Ex'!$D$34</f>
        <v>0.67172582999999997</v>
      </c>
      <c r="L16" s="1719">
        <f t="shared" ref="L16:L34" si="2">J16+K16</f>
        <v>1.3216470299999998</v>
      </c>
      <c r="M16" s="168">
        <f>'[5]Revised projections for Empl Ex'!$F$34</f>
        <v>1.3434516599999999</v>
      </c>
    </row>
    <row r="17" spans="2:16" ht="15.75" hidden="1" customHeight="1">
      <c r="B17" s="1850"/>
      <c r="C17" s="1412"/>
      <c r="D17" s="188"/>
      <c r="E17" s="188"/>
      <c r="F17" s="188"/>
      <c r="G17" s="188"/>
      <c r="H17" s="1863"/>
      <c r="I17" s="2476"/>
      <c r="J17" s="1453"/>
      <c r="K17" s="1453"/>
      <c r="L17" s="1719"/>
      <c r="M17" s="168"/>
    </row>
    <row r="18" spans="2:16" ht="15.75">
      <c r="B18" s="1850"/>
      <c r="C18" s="1412"/>
      <c r="D18" s="188"/>
      <c r="E18" s="188"/>
      <c r="F18" s="188"/>
      <c r="G18" s="188"/>
      <c r="H18" s="1863"/>
      <c r="I18" s="2476"/>
      <c r="J18" s="1453"/>
      <c r="K18" s="1453"/>
      <c r="L18" s="1719"/>
      <c r="M18" s="168"/>
    </row>
    <row r="19" spans="2:16" ht="15.75">
      <c r="B19" s="1896">
        <v>6</v>
      </c>
      <c r="C19" s="15" t="s">
        <v>1033</v>
      </c>
      <c r="D19" s="1897">
        <f>SUM(D10:D18)</f>
        <v>252.04320000000001</v>
      </c>
      <c r="E19" s="1897">
        <f>99-6.69</f>
        <v>92.31</v>
      </c>
      <c r="F19" s="1897">
        <f>SUM(F10:F18)</f>
        <v>174.7453362</v>
      </c>
      <c r="G19" s="1897">
        <f>SUM(G10:G18)</f>
        <v>174.7453362</v>
      </c>
      <c r="H19" s="1454">
        <f>SUM(H10:H18)</f>
        <v>284.34109999999993</v>
      </c>
      <c r="I19" s="2476"/>
      <c r="J19" s="1454">
        <f>SUM(J10:J18)</f>
        <v>75.319120699999985</v>
      </c>
      <c r="K19" s="1454">
        <f>SUM(K10:K18)</f>
        <v>94.363734561000001</v>
      </c>
      <c r="L19" s="1454">
        <f>SUM(L10:L18)</f>
        <v>169.68285526100001</v>
      </c>
      <c r="M19" s="1898">
        <f>SUM(M10:M18)</f>
        <v>209.46109757423997</v>
      </c>
    </row>
    <row r="20" spans="2:16" ht="15.75">
      <c r="B20" s="1896" t="s">
        <v>1031</v>
      </c>
      <c r="C20" s="15" t="s">
        <v>288</v>
      </c>
      <c r="D20" s="188"/>
      <c r="E20" s="188"/>
      <c r="F20" s="188"/>
      <c r="G20" s="188"/>
      <c r="H20" s="1863"/>
      <c r="I20" s="2476"/>
      <c r="J20" s="1453"/>
      <c r="K20" s="1453"/>
      <c r="L20" s="1719"/>
      <c r="M20" s="1565">
        <f>'[5]Employee exp from Sep -12 Sal2'!W65</f>
        <v>0</v>
      </c>
    </row>
    <row r="21" spans="2:16" ht="15.75">
      <c r="B21" s="1850">
        <v>7</v>
      </c>
      <c r="C21" s="1412" t="s">
        <v>289</v>
      </c>
      <c r="D21" s="188">
        <v>9.702</v>
      </c>
      <c r="E21" s="188">
        <f t="shared" ref="E21:E22" si="3">D21</f>
        <v>9.702</v>
      </c>
      <c r="F21" s="188">
        <f>'Schedules of Accounts'!E13/10^7</f>
        <v>0</v>
      </c>
      <c r="G21" s="188">
        <f>F21</f>
        <v>0</v>
      </c>
      <c r="H21" s="1863">
        <v>10.939950000000001</v>
      </c>
      <c r="I21" s="2476"/>
      <c r="J21" s="1453">
        <v>5.4252687000000002</v>
      </c>
      <c r="K21" s="1453">
        <f>'[5]Revised projections for Empl Ex'!$D$20</f>
        <v>7.01</v>
      </c>
      <c r="L21" s="1719">
        <f t="shared" si="2"/>
        <v>12.4352687</v>
      </c>
      <c r="M21" s="1565">
        <f>'[5]Revised projections for Empl Ex'!$F$20</f>
        <v>13.3</v>
      </c>
      <c r="O21" s="61"/>
      <c r="P21" s="61"/>
    </row>
    <row r="22" spans="2:16" ht="15.75">
      <c r="B22" s="1850">
        <v>8</v>
      </c>
      <c r="C22" s="1412" t="s">
        <v>290</v>
      </c>
      <c r="D22" s="188">
        <v>14.3</v>
      </c>
      <c r="E22" s="188">
        <f t="shared" si="3"/>
        <v>14.3</v>
      </c>
      <c r="F22" s="188"/>
      <c r="G22" s="188"/>
      <c r="H22" s="1863">
        <v>19.223399999999998</v>
      </c>
      <c r="I22" s="2476"/>
      <c r="J22" s="1453">
        <v>8.3287212000000004</v>
      </c>
      <c r="K22" s="1453">
        <f>'[5]Revised projections for Empl Ex'!$D$22</f>
        <v>13.45</v>
      </c>
      <c r="L22" s="1719">
        <f t="shared" si="2"/>
        <v>21.7787212</v>
      </c>
      <c r="M22" s="1565">
        <f>'[5]Revised projections for Empl Ex'!$F$22</f>
        <v>14</v>
      </c>
      <c r="O22" s="61"/>
      <c r="P22" s="61"/>
    </row>
    <row r="23" spans="2:16" ht="15.75" hidden="1" customHeight="1">
      <c r="B23" s="1850"/>
      <c r="C23" s="1412"/>
      <c r="D23" s="188"/>
      <c r="E23" s="188"/>
      <c r="F23" s="188"/>
      <c r="G23" s="188"/>
      <c r="H23" s="1863"/>
      <c r="I23" s="2476"/>
      <c r="J23" s="1453"/>
      <c r="K23" s="1453"/>
      <c r="L23" s="1719"/>
      <c r="M23" s="1565"/>
      <c r="O23" s="61"/>
      <c r="P23" s="61"/>
    </row>
    <row r="24" spans="2:16" ht="15.75">
      <c r="B24" s="1850">
        <v>9</v>
      </c>
      <c r="C24" s="1412" t="s">
        <v>291</v>
      </c>
      <c r="D24" s="188">
        <v>0.2</v>
      </c>
      <c r="E24" s="188">
        <v>0</v>
      </c>
      <c r="F24" s="188">
        <f>'Schedules of Accounts'!E14/10^7</f>
        <v>8.4574999999999997E-2</v>
      </c>
      <c r="G24" s="188">
        <f>F24</f>
        <v>8.4574999999999997E-2</v>
      </c>
      <c r="H24" s="1863">
        <v>4.8300000000000003E-2</v>
      </c>
      <c r="I24" s="2476"/>
      <c r="J24" s="1453">
        <v>0</v>
      </c>
      <c r="K24" s="1453">
        <v>0</v>
      </c>
      <c r="L24" s="1719">
        <f t="shared" si="2"/>
        <v>0</v>
      </c>
      <c r="M24" s="1565">
        <v>0</v>
      </c>
      <c r="O24" s="61"/>
      <c r="P24" s="61"/>
    </row>
    <row r="25" spans="2:16" ht="15.75" hidden="1" customHeight="1">
      <c r="B25" s="1850"/>
      <c r="C25" s="1412"/>
      <c r="D25" s="188"/>
      <c r="E25" s="188"/>
      <c r="F25" s="188"/>
      <c r="G25" s="188"/>
      <c r="H25" s="1863"/>
      <c r="I25" s="2476"/>
      <c r="J25" s="1453"/>
      <c r="K25" s="1453"/>
      <c r="L25" s="1719"/>
      <c r="M25" s="1565"/>
      <c r="O25" s="61"/>
      <c r="P25" s="61"/>
    </row>
    <row r="26" spans="2:16" ht="15.75" hidden="1" customHeight="1">
      <c r="B26" s="1850"/>
      <c r="C26" s="1412"/>
      <c r="D26" s="188"/>
      <c r="E26" s="188"/>
      <c r="F26" s="188"/>
      <c r="G26" s="188"/>
      <c r="H26" s="1863"/>
      <c r="I26" s="2476"/>
      <c r="J26" s="1453"/>
      <c r="K26" s="1453"/>
      <c r="L26" s="1719"/>
      <c r="M26" s="1565"/>
      <c r="O26" s="61"/>
      <c r="P26" s="61"/>
    </row>
    <row r="27" spans="2:16" ht="15.75">
      <c r="B27" s="1896">
        <v>10</v>
      </c>
      <c r="C27" s="15" t="s">
        <v>1033</v>
      </c>
      <c r="D27" s="1897">
        <f t="shared" ref="D27:M27" si="4">SUM(D21:D26)</f>
        <v>24.202000000000002</v>
      </c>
      <c r="E27" s="1897">
        <f t="shared" si="4"/>
        <v>24.002000000000002</v>
      </c>
      <c r="F27" s="1897">
        <f t="shared" si="4"/>
        <v>8.4574999999999997E-2</v>
      </c>
      <c r="G27" s="1897">
        <f t="shared" si="4"/>
        <v>8.4574999999999997E-2</v>
      </c>
      <c r="H27" s="1454">
        <f t="shared" si="4"/>
        <v>30.211650000000002</v>
      </c>
      <c r="I27" s="2476"/>
      <c r="J27" s="1454">
        <f t="shared" si="4"/>
        <v>13.753989900000001</v>
      </c>
      <c r="K27" s="1454">
        <f t="shared" si="4"/>
        <v>20.46</v>
      </c>
      <c r="L27" s="1454">
        <f t="shared" si="4"/>
        <v>34.213989900000001</v>
      </c>
      <c r="M27" s="1898">
        <f t="shared" si="4"/>
        <v>27.3</v>
      </c>
      <c r="O27" s="61"/>
      <c r="P27" s="61"/>
    </row>
    <row r="28" spans="2:16" ht="15.75">
      <c r="B28" s="1896" t="s">
        <v>1032</v>
      </c>
      <c r="C28" s="15" t="s">
        <v>292</v>
      </c>
      <c r="D28" s="188"/>
      <c r="E28" s="188"/>
      <c r="F28" s="188"/>
      <c r="G28" s="188"/>
      <c r="H28" s="1863"/>
      <c r="I28" s="2476"/>
      <c r="J28" s="1453"/>
      <c r="K28" s="1453"/>
      <c r="L28" s="1719"/>
      <c r="M28" s="1565">
        <f>'[5]Employee exp from Sep -12 Sal2'!W73</f>
        <v>0</v>
      </c>
    </row>
    <row r="29" spans="2:16" ht="15.75">
      <c r="B29" s="1850">
        <v>11</v>
      </c>
      <c r="C29" s="1412" t="s">
        <v>293</v>
      </c>
      <c r="D29" s="188">
        <v>2.4930000000000003</v>
      </c>
      <c r="E29" s="188">
        <f>D29</f>
        <v>2.4930000000000003</v>
      </c>
      <c r="F29" s="188"/>
      <c r="G29" s="188"/>
      <c r="H29" s="1863">
        <v>32.674949999999995</v>
      </c>
      <c r="I29" s="2476"/>
      <c r="J29" s="1453">
        <v>12.337333999999998</v>
      </c>
      <c r="K29" s="1453">
        <f>'[5]Revised projections for Empl Ex'!$D$24</f>
        <v>13.74</v>
      </c>
      <c r="L29" s="1719">
        <f t="shared" si="2"/>
        <v>26.077334</v>
      </c>
      <c r="M29" s="1565">
        <f>'[5]Revised projections for Empl Ex'!$F$24</f>
        <v>33.133458069767443</v>
      </c>
    </row>
    <row r="30" spans="2:16" ht="15.75" hidden="1" customHeight="1">
      <c r="B30" s="1850"/>
      <c r="C30" s="1412"/>
      <c r="D30" s="188"/>
      <c r="E30" s="188"/>
      <c r="F30" s="188"/>
      <c r="G30" s="188"/>
      <c r="H30" s="1863"/>
      <c r="I30" s="2476"/>
      <c r="J30" s="1453"/>
      <c r="K30" s="1453"/>
      <c r="L30" s="1719"/>
      <c r="M30" s="1565"/>
    </row>
    <row r="31" spans="2:16" ht="15.75" hidden="1" customHeight="1">
      <c r="B31" s="1850"/>
      <c r="C31" s="1412"/>
      <c r="D31" s="188"/>
      <c r="E31" s="188"/>
      <c r="F31" s="188"/>
      <c r="G31" s="188"/>
      <c r="H31" s="1863"/>
      <c r="I31" s="2476"/>
      <c r="J31" s="1453"/>
      <c r="K31" s="1453"/>
      <c r="L31" s="1719"/>
      <c r="M31" s="1565"/>
    </row>
    <row r="32" spans="2:16" ht="15.75">
      <c r="B32" s="1850">
        <v>12</v>
      </c>
      <c r="C32" s="1412" t="s">
        <v>2754</v>
      </c>
      <c r="D32" s="188">
        <v>0</v>
      </c>
      <c r="E32" s="188">
        <f>D32</f>
        <v>0</v>
      </c>
      <c r="F32" s="188">
        <f>('Schedules of Accounts'!E16+'Schedules of Accounts'!E12+'Schedules of Accounts'!E17+'Schedules of Accounts'!E18)/10^7</f>
        <v>89.397266200000004</v>
      </c>
      <c r="G32" s="188">
        <f>F32</f>
        <v>89.397266200000004</v>
      </c>
      <c r="H32" s="1863">
        <v>5.3613000000000008</v>
      </c>
      <c r="I32" s="2476"/>
      <c r="J32" s="2163">
        <v>1.4910218999999998</v>
      </c>
      <c r="K32" s="1453">
        <f>J32/J10*K10</f>
        <v>1.639113251158028</v>
      </c>
      <c r="L32" s="1719">
        <f t="shared" si="2"/>
        <v>3.1301351511580275</v>
      </c>
      <c r="M32" s="1565">
        <f>J32/J10*M10</f>
        <v>3.5327837002129865</v>
      </c>
    </row>
    <row r="33" spans="2:13" ht="15.75" hidden="1" customHeight="1">
      <c r="B33" s="1850"/>
      <c r="C33" s="1412"/>
      <c r="D33" s="188"/>
      <c r="E33" s="188"/>
      <c r="F33" s="188"/>
      <c r="G33" s="188"/>
      <c r="H33" s="1863"/>
      <c r="I33" s="2476"/>
      <c r="J33" s="1453"/>
      <c r="K33" s="1453"/>
      <c r="L33" s="1719"/>
      <c r="M33" s="1565"/>
    </row>
    <row r="34" spans="2:13" ht="15.75">
      <c r="B34" s="1850">
        <v>13</v>
      </c>
      <c r="C34" s="1412" t="s">
        <v>2663</v>
      </c>
      <c r="D34" s="188">
        <v>7.7699999999999991E-2</v>
      </c>
      <c r="E34" s="188">
        <f>D34</f>
        <v>7.7699999999999991E-2</v>
      </c>
      <c r="F34" s="188"/>
      <c r="G34" s="188"/>
      <c r="H34" s="1863">
        <v>0</v>
      </c>
      <c r="I34" s="2476"/>
      <c r="J34" s="1453">
        <v>0</v>
      </c>
      <c r="K34" s="1453">
        <f>'[5]Revised projections for Empl Ex'!$D$26</f>
        <v>10.52</v>
      </c>
      <c r="L34" s="1719">
        <f t="shared" si="2"/>
        <v>10.52</v>
      </c>
      <c r="M34" s="1565">
        <f>'[5]Revised projections for Empl Ex'!$F$26</f>
        <v>13.32</v>
      </c>
    </row>
    <row r="35" spans="2:13" ht="15.75">
      <c r="B35" s="1896">
        <v>14</v>
      </c>
      <c r="C35" s="15" t="s">
        <v>1033</v>
      </c>
      <c r="D35" s="1899">
        <f t="shared" ref="D35:J35" si="5">SUM(D29:D34)</f>
        <v>2.5707000000000004</v>
      </c>
      <c r="E35" s="1899">
        <f t="shared" si="5"/>
        <v>2.5707000000000004</v>
      </c>
      <c r="F35" s="1899">
        <f t="shared" si="5"/>
        <v>89.397266200000004</v>
      </c>
      <c r="G35" s="1899">
        <f t="shared" si="5"/>
        <v>89.397266200000004</v>
      </c>
      <c r="H35" s="1455">
        <f t="shared" si="5"/>
        <v>38.036249999999995</v>
      </c>
      <c r="I35" s="2476"/>
      <c r="J35" s="1455">
        <f t="shared" si="5"/>
        <v>13.828355899999998</v>
      </c>
      <c r="K35" s="1455">
        <f t="shared" ref="K35:M35" si="6">SUM(K29:K34)</f>
        <v>25.899113251158028</v>
      </c>
      <c r="L35" s="1455">
        <f t="shared" si="6"/>
        <v>39.727469151158033</v>
      </c>
      <c r="M35" s="1900">
        <f t="shared" si="6"/>
        <v>49.986241769980431</v>
      </c>
    </row>
    <row r="36" spans="2:13" ht="15.75">
      <c r="B36" s="1896">
        <v>15</v>
      </c>
      <c r="C36" s="15" t="s">
        <v>287</v>
      </c>
      <c r="D36" s="1897">
        <f>D19+D27+D35</f>
        <v>278.8159</v>
      </c>
      <c r="E36" s="1897">
        <f>E19+E27+E35</f>
        <v>118.88270000000001</v>
      </c>
      <c r="F36" s="1897">
        <f>F19+F27+F35</f>
        <v>264.22717740000002</v>
      </c>
      <c r="G36" s="1897">
        <f>G19+G27+G35</f>
        <v>264.22717740000002</v>
      </c>
      <c r="H36" s="1901">
        <f>H19+H27+H35</f>
        <v>352.58899999999994</v>
      </c>
      <c r="I36" s="2476"/>
      <c r="J36" s="1454">
        <f>J19+J27+J35</f>
        <v>102.90146649999997</v>
      </c>
      <c r="K36" s="1454">
        <f>K19+K27+K35</f>
        <v>140.72284781215802</v>
      </c>
      <c r="L36" s="1454">
        <f>L19+L27+L35</f>
        <v>243.62431431215805</v>
      </c>
      <c r="M36" s="1898">
        <f>M19+M27+M35</f>
        <v>286.74733934422039</v>
      </c>
    </row>
    <row r="37" spans="2:13" ht="15.75">
      <c r="B37" s="1850">
        <v>16</v>
      </c>
      <c r="C37" s="1412" t="s">
        <v>294</v>
      </c>
      <c r="D37" s="188">
        <v>53.351071942123959</v>
      </c>
      <c r="E37" s="188"/>
      <c r="F37" s="188">
        <f>'Schedules of Accounts'!E27/10^7</f>
        <v>71.481984100000005</v>
      </c>
      <c r="G37" s="188">
        <f>F37</f>
        <v>71.481984100000005</v>
      </c>
      <c r="H37" s="1453">
        <v>95.347475064565046</v>
      </c>
      <c r="I37" s="2476"/>
      <c r="J37" s="1563">
        <v>3.7550821999999999</v>
      </c>
      <c r="K37" s="1453">
        <f>'[5]Revised projections for Empl Ex'!$D$28</f>
        <v>20.2449178</v>
      </c>
      <c r="L37" s="1719">
        <f>SUM(J37:K37)</f>
        <v>24</v>
      </c>
      <c r="M37" s="168">
        <f>'[5]Revised projections for Empl Ex'!$F$28</f>
        <v>26.400000000000002</v>
      </c>
    </row>
    <row r="38" spans="2:13" ht="15.75">
      <c r="B38" s="1896">
        <v>17</v>
      </c>
      <c r="C38" s="15" t="s">
        <v>2683</v>
      </c>
      <c r="D38" s="1899">
        <f t="shared" ref="D38:M38" si="7">D36-D37</f>
        <v>225.46482805787605</v>
      </c>
      <c r="E38" s="1899">
        <f t="shared" si="7"/>
        <v>118.88270000000001</v>
      </c>
      <c r="F38" s="1899">
        <f t="shared" si="7"/>
        <v>192.74519330000001</v>
      </c>
      <c r="G38" s="1899">
        <f t="shared" si="7"/>
        <v>192.74519330000001</v>
      </c>
      <c r="H38" s="1455">
        <f>H36-H37</f>
        <v>257.24152493543488</v>
      </c>
      <c r="I38" s="2476"/>
      <c r="J38" s="1455">
        <f t="shared" si="7"/>
        <v>99.146384299999966</v>
      </c>
      <c r="K38" s="1455">
        <f t="shared" si="7"/>
        <v>120.47793001215803</v>
      </c>
      <c r="L38" s="1455">
        <f t="shared" si="7"/>
        <v>219.62431431215805</v>
      </c>
      <c r="M38" s="1900">
        <f t="shared" si="7"/>
        <v>260.34733934422042</v>
      </c>
    </row>
    <row r="39" spans="2:13" ht="15.75" hidden="1" customHeight="1">
      <c r="B39" s="1850"/>
      <c r="C39" s="1412"/>
      <c r="D39" s="188"/>
      <c r="E39" s="188"/>
      <c r="F39" s="188"/>
      <c r="G39" s="188"/>
      <c r="H39" s="1863"/>
      <c r="I39" s="2476"/>
      <c r="J39" s="1563"/>
      <c r="K39" s="1453"/>
      <c r="L39" s="1719"/>
      <c r="M39" s="168"/>
    </row>
    <row r="40" spans="2:13" ht="15.75" hidden="1" customHeight="1">
      <c r="B40" s="1896">
        <v>21</v>
      </c>
      <c r="C40" s="15" t="s">
        <v>2684</v>
      </c>
      <c r="D40" s="1899">
        <f t="shared" ref="D40:M40" si="8">D38+D39</f>
        <v>225.46482805787605</v>
      </c>
      <c r="E40" s="1899">
        <f t="shared" si="8"/>
        <v>118.88270000000001</v>
      </c>
      <c r="F40" s="1899">
        <f t="shared" si="8"/>
        <v>192.74519330000001</v>
      </c>
      <c r="G40" s="1899">
        <f t="shared" si="8"/>
        <v>192.74519330000001</v>
      </c>
      <c r="H40" s="1455">
        <f t="shared" si="8"/>
        <v>257.24152493543488</v>
      </c>
      <c r="I40" s="2476"/>
      <c r="J40" s="1455">
        <f t="shared" si="8"/>
        <v>99.146384299999966</v>
      </c>
      <c r="K40" s="1455">
        <f t="shared" si="8"/>
        <v>120.47793001215803</v>
      </c>
      <c r="L40" s="1455">
        <f t="shared" si="8"/>
        <v>219.62431431215805</v>
      </c>
      <c r="M40" s="1900">
        <f t="shared" si="8"/>
        <v>260.34733934422042</v>
      </c>
    </row>
    <row r="41" spans="2:13" ht="15.75">
      <c r="B41" s="1850">
        <v>18</v>
      </c>
      <c r="C41" s="1412" t="s">
        <v>2685</v>
      </c>
      <c r="D41" s="1897">
        <v>0</v>
      </c>
      <c r="E41" s="1897"/>
      <c r="F41" s="1897"/>
      <c r="G41" s="1897"/>
      <c r="H41" s="1901">
        <v>26.167499999999997</v>
      </c>
      <c r="I41" s="2476"/>
      <c r="J41" s="1563">
        <v>0</v>
      </c>
      <c r="K41" s="1453">
        <f>'[5]Revised projections for Empl Ex'!$D$30</f>
        <v>12.87</v>
      </c>
      <c r="L41" s="1453">
        <f>J41+K41</f>
        <v>12.87</v>
      </c>
      <c r="M41" s="168">
        <f>'[5]Revised projections for Empl Ex'!$F$30</f>
        <v>12.87</v>
      </c>
    </row>
    <row r="42" spans="2:13" ht="16.5" thickBot="1">
      <c r="B42" s="1902">
        <v>19</v>
      </c>
      <c r="C42" s="1903" t="s">
        <v>287</v>
      </c>
      <c r="D42" s="1904">
        <f t="shared" ref="D42:M42" si="9">D40+D41</f>
        <v>225.46482805787605</v>
      </c>
      <c r="E42" s="1904">
        <f t="shared" si="9"/>
        <v>118.88270000000001</v>
      </c>
      <c r="F42" s="1904">
        <f t="shared" si="9"/>
        <v>192.74519330000001</v>
      </c>
      <c r="G42" s="1904">
        <f t="shared" si="9"/>
        <v>192.74519330000001</v>
      </c>
      <c r="H42" s="1905">
        <f t="shared" si="9"/>
        <v>283.4090249354349</v>
      </c>
      <c r="I42" s="1905">
        <v>211.12</v>
      </c>
      <c r="J42" s="1905">
        <f t="shared" si="9"/>
        <v>99.146384299999966</v>
      </c>
      <c r="K42" s="1905">
        <f t="shared" si="9"/>
        <v>133.34793001215803</v>
      </c>
      <c r="L42" s="1905">
        <f t="shared" si="9"/>
        <v>232.49431431215805</v>
      </c>
      <c r="M42" s="1906">
        <f t="shared" si="9"/>
        <v>273.21733934422042</v>
      </c>
    </row>
    <row r="43" spans="2:13" ht="20.25" hidden="1" customHeight="1">
      <c r="G43" s="1907"/>
    </row>
    <row r="44" spans="2:13" ht="20.25" hidden="1" customHeight="1">
      <c r="B44" s="8" t="s">
        <v>1074</v>
      </c>
      <c r="D44" s="1854"/>
      <c r="E44" s="1854"/>
      <c r="F44" s="1908"/>
      <c r="G44" s="1908"/>
      <c r="H44" s="1122"/>
      <c r="I44" s="6"/>
      <c r="J44" s="6"/>
    </row>
    <row r="45" spans="2:13" ht="20.25" hidden="1" customHeight="1">
      <c r="B45" s="1909">
        <v>1</v>
      </c>
      <c r="C45" s="2" t="s">
        <v>1058</v>
      </c>
      <c r="D45" s="61">
        <f>'Schedules of Accounts'!E12/10^7</f>
        <v>0.90403520000000004</v>
      </c>
      <c r="E45" s="1910"/>
      <c r="F45" s="1911"/>
      <c r="G45" s="1911"/>
      <c r="H45" s="1122"/>
      <c r="I45" s="6"/>
      <c r="J45" s="1122"/>
    </row>
    <row r="46" spans="2:13" ht="20.25" hidden="1" customHeight="1">
      <c r="B46" s="1909">
        <v>2</v>
      </c>
      <c r="C46" s="2" t="s">
        <v>1062</v>
      </c>
      <c r="D46" s="61">
        <f>'Schedules of Accounts'!E16/10^7</f>
        <v>0.2496546</v>
      </c>
      <c r="F46" s="1122"/>
      <c r="G46" s="6"/>
      <c r="H46" s="1122"/>
      <c r="I46" s="6"/>
      <c r="J46" s="1122"/>
      <c r="L46" s="61"/>
      <c r="M46" s="61"/>
    </row>
    <row r="47" spans="2:13" ht="20.25" hidden="1" customHeight="1">
      <c r="B47" s="1909">
        <v>3</v>
      </c>
      <c r="C47" s="2" t="s">
        <v>288</v>
      </c>
      <c r="D47" s="61">
        <f>'Schedules of Accounts'!E17/10^7</f>
        <v>32.343576400000003</v>
      </c>
      <c r="G47" s="61"/>
      <c r="J47" s="61"/>
      <c r="L47" s="61"/>
      <c r="M47" s="61"/>
    </row>
    <row r="48" spans="2:13" ht="20.25" hidden="1" customHeight="1">
      <c r="B48" s="1909" t="s">
        <v>1433</v>
      </c>
      <c r="C48" s="2" t="s">
        <v>1435</v>
      </c>
      <c r="D48" s="61">
        <v>30.19</v>
      </c>
      <c r="L48" s="61"/>
      <c r="M48" s="61"/>
    </row>
    <row r="49" spans="2:13" ht="20.25" hidden="1" customHeight="1">
      <c r="B49" s="1909" t="s">
        <v>1434</v>
      </c>
      <c r="C49" s="2" t="s">
        <v>1436</v>
      </c>
      <c r="D49" s="61">
        <v>2.16</v>
      </c>
      <c r="L49" s="61"/>
      <c r="M49" s="61"/>
    </row>
    <row r="50" spans="2:13" ht="33.75" hidden="1" customHeight="1">
      <c r="B50" s="1909">
        <v>4</v>
      </c>
      <c r="C50" s="1912" t="s">
        <v>1432</v>
      </c>
      <c r="D50" s="61">
        <f>'Schedules of Accounts'!E18/10^7</f>
        <v>55.9</v>
      </c>
      <c r="E50" s="61">
        <f>D50+D47</f>
        <v>88.243576399999995</v>
      </c>
      <c r="L50" s="61"/>
    </row>
    <row r="51" spans="2:13" ht="20.25" hidden="1" customHeight="1">
      <c r="D51" s="61"/>
      <c r="J51" s="61"/>
      <c r="K51" s="61"/>
      <c r="L51" s="61"/>
      <c r="M51" s="61"/>
    </row>
    <row r="52" spans="2:13" ht="15" hidden="1" customHeight="1">
      <c r="B52" s="2" t="s">
        <v>1437</v>
      </c>
      <c r="J52" s="61"/>
      <c r="K52" s="61"/>
      <c r="L52" s="61"/>
      <c r="M52" s="61"/>
    </row>
    <row r="53" spans="2:13" ht="15" hidden="1" customHeight="1">
      <c r="J53" s="61"/>
      <c r="K53" s="61"/>
      <c r="L53" s="61"/>
      <c r="M53" s="61"/>
    </row>
    <row r="54" spans="2:13" ht="15" hidden="1" customHeight="1">
      <c r="H54" s="61"/>
    </row>
    <row r="55" spans="2:13" ht="15" hidden="1" customHeight="1">
      <c r="H55" s="177"/>
    </row>
    <row r="56" spans="2:13" ht="15" hidden="1" customHeight="1"/>
    <row r="57" spans="2:13" ht="15" hidden="1" customHeight="1">
      <c r="B57" s="2" t="s">
        <v>425</v>
      </c>
    </row>
    <row r="58" spans="2:13" ht="15" hidden="1" customHeight="1">
      <c r="B58" s="3">
        <v>1</v>
      </c>
      <c r="C58" s="2" t="s">
        <v>1044</v>
      </c>
      <c r="D58" s="61"/>
    </row>
    <row r="59" spans="2:13" ht="15" hidden="1" customHeight="1">
      <c r="B59" s="3">
        <v>2</v>
      </c>
      <c r="C59" s="2" t="s">
        <v>1151</v>
      </c>
    </row>
    <row r="60" spans="2:13" ht="15" hidden="1" customHeight="1">
      <c r="B60" s="3">
        <v>3</v>
      </c>
      <c r="C60" s="2" t="s">
        <v>1045</v>
      </c>
    </row>
    <row r="61" spans="2:13" ht="15" hidden="1" customHeight="1">
      <c r="B61" s="3">
        <v>4</v>
      </c>
      <c r="C61" s="2" t="s">
        <v>1152</v>
      </c>
    </row>
    <row r="62" spans="2:13" ht="15" hidden="1" customHeight="1">
      <c r="B62" s="3">
        <v>5</v>
      </c>
      <c r="C62" s="2" t="s">
        <v>1046</v>
      </c>
    </row>
    <row r="63" spans="2:13" ht="15" hidden="1" customHeight="1">
      <c r="B63" s="2474" t="s">
        <v>1003</v>
      </c>
      <c r="C63" s="2473" t="s">
        <v>331</v>
      </c>
      <c r="D63" s="2472" t="s">
        <v>425</v>
      </c>
      <c r="E63" s="2472"/>
      <c r="F63" s="2472" t="s">
        <v>2601</v>
      </c>
      <c r="G63" s="2472"/>
      <c r="H63" s="2472"/>
      <c r="I63" s="2472"/>
      <c r="J63" s="480" t="s">
        <v>2590</v>
      </c>
    </row>
    <row r="64" spans="2:13" ht="15" hidden="1" customHeight="1">
      <c r="B64" s="2474"/>
      <c r="C64" s="2473"/>
      <c r="D64" s="1849" t="s">
        <v>1036</v>
      </c>
      <c r="E64" s="1849" t="s">
        <v>1037</v>
      </c>
      <c r="F64" s="1849" t="s">
        <v>1036</v>
      </c>
      <c r="G64" s="1849" t="s">
        <v>1943</v>
      </c>
      <c r="H64" s="1849" t="s">
        <v>1944</v>
      </c>
      <c r="I64" s="1849" t="s">
        <v>1942</v>
      </c>
      <c r="J64" s="1849" t="s">
        <v>1040</v>
      </c>
    </row>
    <row r="65" spans="2:14" ht="15" hidden="1" customHeight="1">
      <c r="B65" s="65">
        <v>1</v>
      </c>
      <c r="C65" s="293" t="s">
        <v>288</v>
      </c>
      <c r="D65" s="115">
        <f>E27+E35</f>
        <v>26.572700000000005</v>
      </c>
      <c r="E65" s="115">
        <f>F35</f>
        <v>89.397266200000004</v>
      </c>
      <c r="F65" s="115">
        <f>I27+I35</f>
        <v>0</v>
      </c>
      <c r="G65" s="115">
        <f>J27-J24+J35</f>
        <v>27.582345799999999</v>
      </c>
      <c r="H65" s="115">
        <f>K27-K24+K35</f>
        <v>46.359113251158028</v>
      </c>
      <c r="I65" s="115">
        <f>L27-L24+L35</f>
        <v>73.941459051158034</v>
      </c>
      <c r="J65" s="115">
        <f>M27-M24+M35</f>
        <v>77.286241769980435</v>
      </c>
    </row>
    <row r="66" spans="2:14" ht="30.75" hidden="1" customHeight="1">
      <c r="B66" s="65">
        <v>2</v>
      </c>
      <c r="C66" s="20" t="s">
        <v>1945</v>
      </c>
      <c r="D66" s="115">
        <f>E41</f>
        <v>0</v>
      </c>
      <c r="E66" s="115">
        <f>G41</f>
        <v>0</v>
      </c>
      <c r="F66" s="115">
        <f>I41</f>
        <v>0</v>
      </c>
      <c r="G66" s="115">
        <f>J41</f>
        <v>0</v>
      </c>
      <c r="H66" s="115">
        <f>K41</f>
        <v>12.87</v>
      </c>
      <c r="I66" s="115">
        <f>L41</f>
        <v>12.87</v>
      </c>
      <c r="J66" s="115">
        <f>M41</f>
        <v>12.87</v>
      </c>
    </row>
    <row r="67" spans="2:14" ht="15" hidden="1" customHeight="1">
      <c r="B67" s="65">
        <v>3</v>
      </c>
      <c r="C67" s="293" t="s">
        <v>1948</v>
      </c>
      <c r="D67" s="115">
        <f ca="1">D68-D69</f>
        <v>92.31</v>
      </c>
      <c r="E67" s="1913">
        <f>E68-E69</f>
        <v>103.34792709999999</v>
      </c>
      <c r="F67" s="115">
        <f>I19</f>
        <v>0</v>
      </c>
      <c r="G67" s="115">
        <f>G68-G69</f>
        <v>71.564038499999981</v>
      </c>
      <c r="H67" s="115">
        <f>H68-H69</f>
        <v>74.118816761000005</v>
      </c>
      <c r="I67" s="115">
        <f>I68-I69</f>
        <v>145.68285526100001</v>
      </c>
      <c r="J67" s="115">
        <f>J68-J69</f>
        <v>183.06109757423997</v>
      </c>
    </row>
    <row r="68" spans="2:14" ht="15" hidden="1" customHeight="1">
      <c r="B68" s="65" t="s">
        <v>163</v>
      </c>
      <c r="C68" s="293" t="s">
        <v>1949</v>
      </c>
      <c r="D68" s="115">
        <f ca="1">D67</f>
        <v>92.31</v>
      </c>
      <c r="E68" s="115">
        <f>G19+G27+G39</f>
        <v>174.8299112</v>
      </c>
      <c r="F68" s="115">
        <f>F67</f>
        <v>0</v>
      </c>
      <c r="G68" s="115">
        <f>J19+J24+J39</f>
        <v>75.319120699999985</v>
      </c>
      <c r="H68" s="115">
        <f>K19+K24+K39</f>
        <v>94.363734561000001</v>
      </c>
      <c r="I68" s="115">
        <f>L19+L24+L39</f>
        <v>169.68285526100001</v>
      </c>
      <c r="J68" s="115">
        <f>M19+M24+M39</f>
        <v>209.46109757423997</v>
      </c>
    </row>
    <row r="69" spans="2:14" ht="15" hidden="1" customHeight="1">
      <c r="B69" s="65" t="s">
        <v>164</v>
      </c>
      <c r="C69" s="293" t="s">
        <v>1750</v>
      </c>
      <c r="D69" s="115">
        <v>0</v>
      </c>
      <c r="E69" s="115">
        <f>G37</f>
        <v>71.481984100000005</v>
      </c>
      <c r="F69" s="65">
        <v>0</v>
      </c>
      <c r="G69" s="115">
        <f>J37</f>
        <v>3.7550821999999999</v>
      </c>
      <c r="H69" s="115">
        <f>K37</f>
        <v>20.2449178</v>
      </c>
      <c r="I69" s="115">
        <f>L37</f>
        <v>24</v>
      </c>
      <c r="J69" s="115">
        <f>M37</f>
        <v>26.400000000000002</v>
      </c>
    </row>
    <row r="70" spans="2:14" ht="30.75" hidden="1" customHeight="1">
      <c r="B70" s="65">
        <v>4</v>
      </c>
      <c r="C70" s="20" t="s">
        <v>1947</v>
      </c>
      <c r="D70" s="65"/>
      <c r="E70" s="65"/>
      <c r="F70" s="65"/>
      <c r="G70" s="65"/>
      <c r="H70" s="65"/>
      <c r="I70" s="65"/>
      <c r="J70" s="115">
        <f>'F1(a)'!N24</f>
        <v>2.6589122399999996E-6</v>
      </c>
    </row>
    <row r="71" spans="2:14" ht="15" hidden="1" customHeight="1">
      <c r="B71" s="1861">
        <v>5</v>
      </c>
      <c r="C71" s="967" t="s">
        <v>1946</v>
      </c>
      <c r="D71" s="969">
        <f t="shared" ref="D71:J71" ca="1" si="10">SUM(D65,D66,D67,D70)</f>
        <v>118.8827</v>
      </c>
      <c r="E71" s="969">
        <f t="shared" si="10"/>
        <v>192.74519329999998</v>
      </c>
      <c r="F71" s="969">
        <f t="shared" si="10"/>
        <v>0</v>
      </c>
      <c r="G71" s="969">
        <f t="shared" si="10"/>
        <v>99.14638429999998</v>
      </c>
      <c r="H71" s="969">
        <f t="shared" si="10"/>
        <v>133.34793001215803</v>
      </c>
      <c r="I71" s="969">
        <f t="shared" si="10"/>
        <v>232.49431431215805</v>
      </c>
      <c r="J71" s="969">
        <f t="shared" si="10"/>
        <v>273.21734200313267</v>
      </c>
    </row>
    <row r="72" spans="2:14" ht="15" hidden="1" customHeight="1"/>
    <row r="73" spans="2:14" ht="15" customHeight="1">
      <c r="J73" s="2165"/>
      <c r="K73" s="2171" t="s">
        <v>1752</v>
      </c>
      <c r="L73" s="2171"/>
      <c r="M73" s="2171"/>
      <c r="N73" s="2172" t="s">
        <v>2590</v>
      </c>
    </row>
    <row r="74" spans="2:14" ht="15" customHeight="1">
      <c r="J74" s="2166"/>
      <c r="K74" s="2160" t="s">
        <v>1047</v>
      </c>
      <c r="L74" s="2160" t="s">
        <v>2566</v>
      </c>
      <c r="M74" s="2160" t="s">
        <v>287</v>
      </c>
      <c r="N74" s="2141" t="s">
        <v>1040</v>
      </c>
    </row>
    <row r="75" spans="2:14" ht="15" customHeight="1">
      <c r="D75" s="1914"/>
      <c r="J75" s="2167" t="s">
        <v>1058</v>
      </c>
      <c r="K75" s="2164">
        <v>0.1672717</v>
      </c>
      <c r="L75" s="2003">
        <f>K75/$K$78*$L$78</f>
        <v>0.18359535229106785</v>
      </c>
      <c r="M75" s="2003">
        <f>SUM(K75:L75)</f>
        <v>0.35086705229106785</v>
      </c>
      <c r="N75" s="76">
        <f>K75/$K$78*$N$78</f>
        <v>0.39570338873809352</v>
      </c>
    </row>
    <row r="76" spans="2:14" ht="15" customHeight="1">
      <c r="D76" s="1914"/>
      <c r="J76" s="2167" t="s">
        <v>1062</v>
      </c>
      <c r="K76" s="2164">
        <v>0.1870482</v>
      </c>
      <c r="L76" s="2003">
        <f t="shared" ref="L76:L77" si="11">K76/$K$78*$L$78</f>
        <v>0.20530179447216784</v>
      </c>
      <c r="M76" s="2003">
        <f t="shared" ref="M76:M77" si="12">SUM(K76:L76)</f>
        <v>0.39234999447216784</v>
      </c>
      <c r="N76" s="76">
        <f t="shared" ref="N76:N77" si="13">K76/$K$78*$N$78</f>
        <v>0.44248732210744957</v>
      </c>
    </row>
    <row r="77" spans="2:14" ht="15" customHeight="1">
      <c r="J77" s="2167" t="s">
        <v>288</v>
      </c>
      <c r="K77" s="2164">
        <v>1.1390580999999997</v>
      </c>
      <c r="L77" s="2003">
        <f t="shared" si="11"/>
        <v>1.2502161043947921</v>
      </c>
      <c r="M77" s="2003">
        <f t="shared" si="12"/>
        <v>2.3892742043947921</v>
      </c>
      <c r="N77" s="76">
        <f t="shared" si="13"/>
        <v>2.6945929893674427</v>
      </c>
    </row>
    <row r="78" spans="2:14" ht="15" customHeight="1" thickBot="1">
      <c r="J78" s="72" t="s">
        <v>2335</v>
      </c>
      <c r="K78" s="2168">
        <f>SUM(K75:K77)</f>
        <v>1.4933779999999999</v>
      </c>
      <c r="L78" s="2169">
        <f>K32</f>
        <v>1.639113251158028</v>
      </c>
      <c r="M78" s="2169">
        <f t="shared" ref="M78:N78" si="14">L32</f>
        <v>3.1301351511580275</v>
      </c>
      <c r="N78" s="2170">
        <f t="shared" si="14"/>
        <v>3.5327837002129865</v>
      </c>
    </row>
    <row r="79" spans="2:14" ht="15" customHeight="1">
      <c r="D79" s="1914"/>
    </row>
  </sheetData>
  <sheetProtection selectLockedCells="1" selectUnlockedCells="1"/>
  <mergeCells count="15">
    <mergeCell ref="D63:E63"/>
    <mergeCell ref="F63:I63"/>
    <mergeCell ref="C63:C64"/>
    <mergeCell ref="B63:B64"/>
    <mergeCell ref="F12:F14"/>
    <mergeCell ref="I9:I41"/>
    <mergeCell ref="C6:C7"/>
    <mergeCell ref="D6:G6"/>
    <mergeCell ref="H6:L6"/>
    <mergeCell ref="G12:G14"/>
    <mergeCell ref="B1:M1"/>
    <mergeCell ref="B2:M2"/>
    <mergeCell ref="B4:M4"/>
    <mergeCell ref="B3:M3"/>
    <mergeCell ref="B6:B7"/>
  </mergeCells>
  <phoneticPr fontId="0" type="noConversion"/>
  <printOptions horizontalCentered="1"/>
  <pageMargins left="0.61" right="0.5" top="0.63" bottom="0.75" header="0.3" footer="0.3"/>
  <pageSetup paperSize="9" scale="86" firstPageNumber="3" orientation="landscape" useFirstPageNumber="1" r:id="rId1"/>
  <headerFooter>
    <oddFooter>&amp;R&amp;P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S46"/>
  <sheetViews>
    <sheetView view="pageBreakPreview" topLeftCell="A21" zoomScale="69" zoomScaleSheetLayoutView="69" workbookViewId="0"/>
  </sheetViews>
  <sheetFormatPr defaultRowHeight="15"/>
  <cols>
    <col min="1" max="1" width="3.85546875" customWidth="1"/>
    <col min="2" max="2" width="9.42578125" customWidth="1"/>
    <col min="3" max="3" width="24.5703125" customWidth="1"/>
    <col min="4" max="4" width="16.7109375" customWidth="1"/>
    <col min="5" max="5" width="14.42578125" customWidth="1"/>
    <col min="6" max="7" width="16.28515625" customWidth="1"/>
    <col min="9" max="9" width="18.7109375" customWidth="1"/>
    <col min="12" max="12" width="22" customWidth="1"/>
    <col min="13" max="13" width="18.28515625" customWidth="1"/>
    <col min="14" max="14" width="14.85546875" customWidth="1"/>
    <col min="16" max="19" width="0" hidden="1" customWidth="1"/>
  </cols>
  <sheetData>
    <row r="1" spans="2:19" s="2" customFormat="1" ht="15.75" customHeight="1">
      <c r="B1" s="2418" t="s">
        <v>2549</v>
      </c>
      <c r="C1" s="2418"/>
      <c r="D1" s="2418"/>
      <c r="E1" s="2418"/>
      <c r="F1" s="2418"/>
      <c r="G1" s="2418"/>
      <c r="H1" s="2418"/>
      <c r="I1" s="2418"/>
      <c r="J1" s="2418"/>
      <c r="K1" s="2418"/>
      <c r="L1" s="2418"/>
      <c r="M1" s="2418"/>
      <c r="Q1" s="1480"/>
      <c r="R1" s="1480"/>
      <c r="S1" s="1480"/>
    </row>
    <row r="2" spans="2:19" s="2" customFormat="1" ht="24" customHeight="1">
      <c r="B2" s="2419" t="s">
        <v>2593</v>
      </c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Q2" s="1456"/>
      <c r="R2" s="966"/>
      <c r="S2" s="966"/>
    </row>
    <row r="3" spans="2:19" s="2" customFormat="1" ht="15.75" customHeight="1">
      <c r="B3" s="2419" t="s">
        <v>2573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  <c r="Q3" s="1452"/>
      <c r="R3" s="1451"/>
      <c r="S3" s="205"/>
    </row>
    <row r="4" spans="2:19" s="2" customFormat="1" ht="13.5" customHeight="1">
      <c r="B4" s="2435" t="s">
        <v>2570</v>
      </c>
      <c r="C4" s="2435"/>
      <c r="D4" s="2435"/>
      <c r="E4" s="2435"/>
      <c r="F4" s="2435"/>
      <c r="G4" s="2435"/>
      <c r="H4" s="2435"/>
      <c r="I4" s="2435"/>
      <c r="J4" s="2435"/>
      <c r="K4" s="2435"/>
      <c r="L4" s="2435"/>
      <c r="M4" s="2435"/>
      <c r="N4" s="1451"/>
      <c r="O4" s="205"/>
    </row>
    <row r="5" spans="2:19">
      <c r="N5" s="1490" t="s">
        <v>96</v>
      </c>
    </row>
    <row r="6" spans="2:19" hidden="1">
      <c r="F6" s="1186">
        <v>0.65</v>
      </c>
      <c r="G6" s="1186">
        <v>0.73</v>
      </c>
      <c r="H6" s="1186">
        <v>0.15</v>
      </c>
      <c r="I6">
        <v>500</v>
      </c>
      <c r="J6">
        <v>1000</v>
      </c>
      <c r="K6" s="1186">
        <v>0.1</v>
      </c>
      <c r="L6" s="1186"/>
    </row>
    <row r="7" spans="2:19" s="1493" customFormat="1" ht="59.25" customHeight="1">
      <c r="B7" s="1492" t="s">
        <v>1003</v>
      </c>
      <c r="C7" s="1492" t="s">
        <v>2390</v>
      </c>
      <c r="D7" s="1492" t="s">
        <v>2391</v>
      </c>
      <c r="E7" s="1492" t="s">
        <v>2392</v>
      </c>
      <c r="F7" s="1492" t="s">
        <v>2393</v>
      </c>
      <c r="G7" s="1492" t="s">
        <v>2394</v>
      </c>
      <c r="H7" s="1492" t="s">
        <v>2257</v>
      </c>
      <c r="I7" s="1492" t="s">
        <v>2395</v>
      </c>
      <c r="J7" s="1492" t="s">
        <v>2396</v>
      </c>
      <c r="K7" s="1492" t="s">
        <v>2258</v>
      </c>
      <c r="L7" s="1492" t="s">
        <v>2565</v>
      </c>
      <c r="M7" s="1492" t="s">
        <v>2415</v>
      </c>
      <c r="N7" s="1492" t="s">
        <v>2416</v>
      </c>
    </row>
    <row r="8" spans="2:19" s="1491" customFormat="1" ht="24.95" customHeight="1">
      <c r="B8" s="1494">
        <v>1</v>
      </c>
      <c r="C8" s="1495" t="s">
        <v>2401</v>
      </c>
      <c r="D8" s="1494">
        <v>117</v>
      </c>
      <c r="E8" s="1494">
        <f>16650+5800</f>
        <v>22450</v>
      </c>
      <c r="F8" s="1494">
        <f>E8*$F$6*3</f>
        <v>43777.5</v>
      </c>
      <c r="G8" s="1494">
        <f>E8*$G$6*9</f>
        <v>147496.5</v>
      </c>
      <c r="H8" s="1494">
        <f>E8*$H$6</f>
        <v>3367.5</v>
      </c>
      <c r="I8" s="1494">
        <f>$I$6*12</f>
        <v>6000</v>
      </c>
      <c r="J8" s="1494">
        <f>$J$6*12</f>
        <v>12000</v>
      </c>
      <c r="K8" s="1494">
        <f>E8*$K$6</f>
        <v>2245</v>
      </c>
      <c r="L8" s="1494">
        <f>M8/12</f>
        <v>4.5501999999999999E-3</v>
      </c>
      <c r="M8" s="1496">
        <f>SUM(E8*12+F8+G8+H8*12+I8+J8+K8*12)/10^7</f>
        <v>5.4602400000000002E-2</v>
      </c>
      <c r="N8" s="1496">
        <f>M8*D8</f>
        <v>6.3884808</v>
      </c>
    </row>
    <row r="9" spans="2:19" s="1491" customFormat="1" ht="24.95" customHeight="1">
      <c r="B9" s="1494">
        <v>2</v>
      </c>
      <c r="C9" s="1495" t="s">
        <v>2402</v>
      </c>
      <c r="D9" s="1494">
        <v>11</v>
      </c>
      <c r="E9" s="1494">
        <f>16650+5800</f>
        <v>22450</v>
      </c>
      <c r="F9" s="1494">
        <f t="shared" ref="F9:F22" si="0">E9*$F$6*3</f>
        <v>43777.5</v>
      </c>
      <c r="G9" s="1494">
        <f t="shared" ref="G9:G22" si="1">E9*$G$6*9</f>
        <v>147496.5</v>
      </c>
      <c r="H9" s="1494">
        <f t="shared" ref="H9:H22" si="2">E9*$H$6</f>
        <v>3367.5</v>
      </c>
      <c r="I9" s="1494">
        <f t="shared" ref="I9:I22" si="3">$I$6*12</f>
        <v>6000</v>
      </c>
      <c r="J9" s="1494">
        <f t="shared" ref="J9:J22" si="4">$J$6*12</f>
        <v>12000</v>
      </c>
      <c r="K9" s="1494">
        <f t="shared" ref="K9:K22" si="5">E9*$K$6</f>
        <v>2245</v>
      </c>
      <c r="L9" s="1494">
        <f t="shared" ref="L9:L22" si="6">M9/12</f>
        <v>4.5501999999999999E-3</v>
      </c>
      <c r="M9" s="1496">
        <f>SUM(E9*12+F9+G9+H9*12+I9+J9+K9*12)/10^7</f>
        <v>5.4602400000000002E-2</v>
      </c>
      <c r="N9" s="1496">
        <f t="shared" ref="N9:N22" si="7">M9*D9</f>
        <v>0.6006264</v>
      </c>
    </row>
    <row r="10" spans="2:19" s="1491" customFormat="1" ht="24.95" customHeight="1">
      <c r="B10" s="1494">
        <v>3</v>
      </c>
      <c r="C10" s="1495" t="s">
        <v>2403</v>
      </c>
      <c r="D10" s="1494">
        <v>158</v>
      </c>
      <c r="E10" s="1494">
        <f>10900+4450</f>
        <v>15350</v>
      </c>
      <c r="F10" s="1494">
        <f t="shared" si="0"/>
        <v>29932.5</v>
      </c>
      <c r="G10" s="1494">
        <f t="shared" si="1"/>
        <v>100849.5</v>
      </c>
      <c r="H10" s="1494">
        <f t="shared" si="2"/>
        <v>2302.5</v>
      </c>
      <c r="I10" s="1494">
        <f t="shared" si="3"/>
        <v>6000</v>
      </c>
      <c r="J10" s="1494">
        <f t="shared" si="4"/>
        <v>12000</v>
      </c>
      <c r="K10" s="1494">
        <f t="shared" si="5"/>
        <v>1535</v>
      </c>
      <c r="L10" s="1494">
        <f t="shared" si="6"/>
        <v>3.1585999999999997E-3</v>
      </c>
      <c r="M10" s="1496">
        <f t="shared" ref="M10:M22" si="8">SUM(E10*12+F10+G10+H10*12+I10+J10+K10*12)/10^7</f>
        <v>3.7903199999999998E-2</v>
      </c>
      <c r="N10" s="1496">
        <f t="shared" si="7"/>
        <v>5.9887055999999994</v>
      </c>
    </row>
    <row r="11" spans="2:19" s="1491" customFormat="1" ht="24.95" customHeight="1">
      <c r="B11" s="1494">
        <v>4</v>
      </c>
      <c r="C11" s="1495" t="s">
        <v>2404</v>
      </c>
      <c r="D11" s="1494">
        <v>44</v>
      </c>
      <c r="E11" s="1494">
        <f>10900+4450</f>
        <v>15350</v>
      </c>
      <c r="F11" s="1494">
        <f t="shared" si="0"/>
        <v>29932.5</v>
      </c>
      <c r="G11" s="1494">
        <f t="shared" si="1"/>
        <v>100849.5</v>
      </c>
      <c r="H11" s="1494">
        <f t="shared" si="2"/>
        <v>2302.5</v>
      </c>
      <c r="I11" s="1494">
        <f t="shared" si="3"/>
        <v>6000</v>
      </c>
      <c r="J11" s="1494">
        <f t="shared" si="4"/>
        <v>12000</v>
      </c>
      <c r="K11" s="1494">
        <f t="shared" si="5"/>
        <v>1535</v>
      </c>
      <c r="L11" s="1494">
        <f t="shared" si="6"/>
        <v>3.1585999999999997E-3</v>
      </c>
      <c r="M11" s="1496">
        <f t="shared" si="8"/>
        <v>3.7903199999999998E-2</v>
      </c>
      <c r="N11" s="1496">
        <f t="shared" si="7"/>
        <v>1.6677407999999998</v>
      </c>
    </row>
    <row r="12" spans="2:19" s="1491" customFormat="1" ht="24.95" customHeight="1">
      <c r="B12" s="1494">
        <v>5</v>
      </c>
      <c r="C12" s="1495" t="s">
        <v>2405</v>
      </c>
      <c r="D12" s="1494">
        <v>11</v>
      </c>
      <c r="E12" s="1494">
        <f>16650+5800</f>
        <v>22450</v>
      </c>
      <c r="F12" s="1494">
        <f t="shared" si="0"/>
        <v>43777.5</v>
      </c>
      <c r="G12" s="1494">
        <f t="shared" si="1"/>
        <v>147496.5</v>
      </c>
      <c r="H12" s="1494">
        <f t="shared" si="2"/>
        <v>3367.5</v>
      </c>
      <c r="I12" s="1494">
        <f t="shared" si="3"/>
        <v>6000</v>
      </c>
      <c r="J12" s="1494">
        <f t="shared" si="4"/>
        <v>12000</v>
      </c>
      <c r="K12" s="1494">
        <f t="shared" si="5"/>
        <v>2245</v>
      </c>
      <c r="L12" s="1494">
        <f t="shared" si="6"/>
        <v>4.5501999999999999E-3</v>
      </c>
      <c r="M12" s="1496">
        <f t="shared" si="8"/>
        <v>5.4602400000000002E-2</v>
      </c>
      <c r="N12" s="1496">
        <f t="shared" si="7"/>
        <v>0.6006264</v>
      </c>
    </row>
    <row r="13" spans="2:19" s="1491" customFormat="1" ht="24.95" customHeight="1">
      <c r="B13" s="1494">
        <v>6</v>
      </c>
      <c r="C13" s="1495" t="s">
        <v>2406</v>
      </c>
      <c r="D13" s="1494">
        <v>2</v>
      </c>
      <c r="E13" s="1494">
        <f>10900+5500</f>
        <v>16400</v>
      </c>
      <c r="F13" s="1494">
        <f t="shared" si="0"/>
        <v>31980</v>
      </c>
      <c r="G13" s="1494">
        <f t="shared" si="1"/>
        <v>107748</v>
      </c>
      <c r="H13" s="1494">
        <f t="shared" si="2"/>
        <v>2460</v>
      </c>
      <c r="I13" s="1494">
        <f t="shared" si="3"/>
        <v>6000</v>
      </c>
      <c r="J13" s="1494">
        <f t="shared" si="4"/>
        <v>12000</v>
      </c>
      <c r="K13" s="1494">
        <f t="shared" si="5"/>
        <v>1640</v>
      </c>
      <c r="L13" s="1494">
        <f t="shared" si="6"/>
        <v>3.3644E-3</v>
      </c>
      <c r="M13" s="1496">
        <f t="shared" si="8"/>
        <v>4.03728E-2</v>
      </c>
      <c r="N13" s="1496">
        <f t="shared" si="7"/>
        <v>8.0745600000000001E-2</v>
      </c>
    </row>
    <row r="14" spans="2:19" s="1491" customFormat="1" ht="24.95" customHeight="1">
      <c r="B14" s="1494" t="s">
        <v>2397</v>
      </c>
      <c r="C14" s="1495" t="s">
        <v>2408</v>
      </c>
      <c r="D14" s="1494">
        <v>20</v>
      </c>
      <c r="E14" s="1494">
        <f>6400+3200</f>
        <v>9600</v>
      </c>
      <c r="F14" s="1494">
        <f t="shared" si="0"/>
        <v>18720</v>
      </c>
      <c r="G14" s="1494">
        <f t="shared" si="1"/>
        <v>63072</v>
      </c>
      <c r="H14" s="1494">
        <f t="shared" si="2"/>
        <v>1440</v>
      </c>
      <c r="I14" s="1494">
        <f t="shared" si="3"/>
        <v>6000</v>
      </c>
      <c r="J14" s="1494">
        <f t="shared" si="4"/>
        <v>12000</v>
      </c>
      <c r="K14" s="1494">
        <f t="shared" si="5"/>
        <v>960</v>
      </c>
      <c r="L14" s="1494">
        <f t="shared" si="6"/>
        <v>2.0316000000000002E-3</v>
      </c>
      <c r="M14" s="1496">
        <f t="shared" si="8"/>
        <v>2.43792E-2</v>
      </c>
      <c r="N14" s="1496">
        <f t="shared" si="7"/>
        <v>0.48758400000000002</v>
      </c>
    </row>
    <row r="15" spans="2:19" s="1491" customFormat="1" ht="24.95" customHeight="1">
      <c r="B15" s="1494" t="s">
        <v>2398</v>
      </c>
      <c r="C15" s="1495" t="s">
        <v>2407</v>
      </c>
      <c r="D15" s="1494">
        <v>60</v>
      </c>
      <c r="E15" s="1494">
        <f>6400+3200</f>
        <v>9600</v>
      </c>
      <c r="F15" s="1494">
        <f t="shared" si="0"/>
        <v>18720</v>
      </c>
      <c r="G15" s="1494">
        <f t="shared" si="1"/>
        <v>63072</v>
      </c>
      <c r="H15" s="1494">
        <f t="shared" si="2"/>
        <v>1440</v>
      </c>
      <c r="I15" s="1494">
        <f t="shared" si="3"/>
        <v>6000</v>
      </c>
      <c r="J15" s="1494">
        <f t="shared" si="4"/>
        <v>12000</v>
      </c>
      <c r="K15" s="1494">
        <f t="shared" si="5"/>
        <v>960</v>
      </c>
      <c r="L15" s="1494">
        <f t="shared" si="6"/>
        <v>2.0316000000000002E-3</v>
      </c>
      <c r="M15" s="1496">
        <f t="shared" si="8"/>
        <v>2.43792E-2</v>
      </c>
      <c r="N15" s="1496">
        <f t="shared" si="7"/>
        <v>1.4627520000000001</v>
      </c>
    </row>
    <row r="16" spans="2:19" s="1491" customFormat="1" ht="24.95" customHeight="1">
      <c r="B16" s="1494">
        <v>8</v>
      </c>
      <c r="C16" s="1495" t="s">
        <v>2409</v>
      </c>
      <c r="D16" s="1494">
        <v>325</v>
      </c>
      <c r="E16" s="1494">
        <f>6400+2950</f>
        <v>9350</v>
      </c>
      <c r="F16" s="1494">
        <f t="shared" si="0"/>
        <v>18232.5</v>
      </c>
      <c r="G16" s="1494">
        <f t="shared" si="1"/>
        <v>61429.5</v>
      </c>
      <c r="H16" s="1494">
        <f t="shared" si="2"/>
        <v>1402.5</v>
      </c>
      <c r="I16" s="1494">
        <f t="shared" si="3"/>
        <v>6000</v>
      </c>
      <c r="J16" s="1494">
        <f t="shared" si="4"/>
        <v>12000</v>
      </c>
      <c r="K16" s="1494">
        <f t="shared" si="5"/>
        <v>935</v>
      </c>
      <c r="L16" s="1494">
        <f t="shared" si="6"/>
        <v>1.9825999999999997E-3</v>
      </c>
      <c r="M16" s="1496">
        <f t="shared" si="8"/>
        <v>2.3791199999999998E-2</v>
      </c>
      <c r="N16" s="1496">
        <f t="shared" si="7"/>
        <v>7.7321399999999993</v>
      </c>
    </row>
    <row r="17" spans="2:14" s="1491" customFormat="1" ht="24.95" customHeight="1">
      <c r="B17" s="1494" t="s">
        <v>2399</v>
      </c>
      <c r="C17" s="1495" t="s">
        <v>2410</v>
      </c>
      <c r="D17" s="1494">
        <v>7</v>
      </c>
      <c r="E17" s="1494">
        <f>10900+4450</f>
        <v>15350</v>
      </c>
      <c r="F17" s="1494">
        <f t="shared" si="0"/>
        <v>29932.5</v>
      </c>
      <c r="G17" s="1494">
        <f t="shared" si="1"/>
        <v>100849.5</v>
      </c>
      <c r="H17" s="1494">
        <f t="shared" si="2"/>
        <v>2302.5</v>
      </c>
      <c r="I17" s="1494">
        <f t="shared" si="3"/>
        <v>6000</v>
      </c>
      <c r="J17" s="1494">
        <f t="shared" si="4"/>
        <v>12000</v>
      </c>
      <c r="K17" s="1494">
        <f t="shared" si="5"/>
        <v>1535</v>
      </c>
      <c r="L17" s="1494">
        <f t="shared" si="6"/>
        <v>3.1585999999999997E-3</v>
      </c>
      <c r="M17" s="1496">
        <f t="shared" si="8"/>
        <v>3.7903199999999998E-2</v>
      </c>
      <c r="N17" s="1496">
        <f t="shared" si="7"/>
        <v>0.26532239999999996</v>
      </c>
    </row>
    <row r="18" spans="2:14" s="1491" customFormat="1" ht="24.95" customHeight="1">
      <c r="B18" s="1494" t="s">
        <v>2400</v>
      </c>
      <c r="C18" s="1495" t="s">
        <v>2410</v>
      </c>
      <c r="D18" s="1494">
        <v>3</v>
      </c>
      <c r="E18" s="1494">
        <f>10900+4450</f>
        <v>15350</v>
      </c>
      <c r="F18" s="1494">
        <f t="shared" si="0"/>
        <v>29932.5</v>
      </c>
      <c r="G18" s="1494">
        <f t="shared" si="1"/>
        <v>100849.5</v>
      </c>
      <c r="H18" s="1494">
        <f t="shared" si="2"/>
        <v>2302.5</v>
      </c>
      <c r="I18" s="1494">
        <f t="shared" si="3"/>
        <v>6000</v>
      </c>
      <c r="J18" s="1494">
        <f t="shared" si="4"/>
        <v>12000</v>
      </c>
      <c r="K18" s="1494">
        <f t="shared" si="5"/>
        <v>1535</v>
      </c>
      <c r="L18" s="1494">
        <f t="shared" si="6"/>
        <v>3.1585999999999997E-3</v>
      </c>
      <c r="M18" s="1496">
        <f t="shared" si="8"/>
        <v>3.7903199999999998E-2</v>
      </c>
      <c r="N18" s="1496">
        <f t="shared" si="7"/>
        <v>0.11370959999999999</v>
      </c>
    </row>
    <row r="19" spans="2:14" s="1491" customFormat="1" ht="24.95" customHeight="1">
      <c r="B19" s="1494">
        <v>10</v>
      </c>
      <c r="C19" s="1495" t="s">
        <v>2411</v>
      </c>
      <c r="D19" s="1494">
        <v>2</v>
      </c>
      <c r="E19" s="1494">
        <f>16650+5800</f>
        <v>22450</v>
      </c>
      <c r="F19" s="1494">
        <f t="shared" si="0"/>
        <v>43777.5</v>
      </c>
      <c r="G19" s="1494">
        <f t="shared" si="1"/>
        <v>147496.5</v>
      </c>
      <c r="H19" s="1494">
        <f t="shared" si="2"/>
        <v>3367.5</v>
      </c>
      <c r="I19" s="1494">
        <f t="shared" si="3"/>
        <v>6000</v>
      </c>
      <c r="J19" s="1494">
        <f t="shared" si="4"/>
        <v>12000</v>
      </c>
      <c r="K19" s="1494">
        <f t="shared" si="5"/>
        <v>2245</v>
      </c>
      <c r="L19" s="1494">
        <f t="shared" si="6"/>
        <v>4.5501999999999999E-3</v>
      </c>
      <c r="M19" s="1496">
        <f t="shared" si="8"/>
        <v>5.4602400000000002E-2</v>
      </c>
      <c r="N19" s="1496">
        <f t="shared" si="7"/>
        <v>0.1092048</v>
      </c>
    </row>
    <row r="20" spans="2:14" s="1491" customFormat="1" ht="24.95" customHeight="1">
      <c r="B20" s="1494">
        <v>11</v>
      </c>
      <c r="C20" s="1495" t="s">
        <v>2412</v>
      </c>
      <c r="D20" s="1494">
        <v>3</v>
      </c>
      <c r="E20" s="1494">
        <f>16650+5800</f>
        <v>22450</v>
      </c>
      <c r="F20" s="1494">
        <f t="shared" si="0"/>
        <v>43777.5</v>
      </c>
      <c r="G20" s="1494">
        <f t="shared" si="1"/>
        <v>147496.5</v>
      </c>
      <c r="H20" s="1494">
        <f t="shared" si="2"/>
        <v>3367.5</v>
      </c>
      <c r="I20" s="1494">
        <f t="shared" si="3"/>
        <v>6000</v>
      </c>
      <c r="J20" s="1494">
        <f t="shared" si="4"/>
        <v>12000</v>
      </c>
      <c r="K20" s="1494">
        <f t="shared" si="5"/>
        <v>2245</v>
      </c>
      <c r="L20" s="1494">
        <f t="shared" si="6"/>
        <v>4.5501999999999999E-3</v>
      </c>
      <c r="M20" s="1496">
        <f t="shared" si="8"/>
        <v>5.4602400000000002E-2</v>
      </c>
      <c r="N20" s="1496">
        <f t="shared" si="7"/>
        <v>0.16380720000000001</v>
      </c>
    </row>
    <row r="21" spans="2:14" s="1491" customFormat="1" ht="24.95" customHeight="1">
      <c r="B21" s="1494">
        <v>12</v>
      </c>
      <c r="C21" s="1495" t="s">
        <v>2413</v>
      </c>
      <c r="D21" s="1494">
        <v>10</v>
      </c>
      <c r="E21" s="1494">
        <f>10900+4700</f>
        <v>15600</v>
      </c>
      <c r="F21" s="1494">
        <f t="shared" si="0"/>
        <v>30420</v>
      </c>
      <c r="G21" s="1494">
        <f t="shared" si="1"/>
        <v>102492</v>
      </c>
      <c r="H21" s="1494">
        <f t="shared" si="2"/>
        <v>2340</v>
      </c>
      <c r="I21" s="1494">
        <f t="shared" si="3"/>
        <v>6000</v>
      </c>
      <c r="J21" s="1494">
        <f t="shared" si="4"/>
        <v>12000</v>
      </c>
      <c r="K21" s="1494">
        <f t="shared" si="5"/>
        <v>1560</v>
      </c>
      <c r="L21" s="1494">
        <f t="shared" si="6"/>
        <v>3.2076000000000001E-3</v>
      </c>
      <c r="M21" s="1496">
        <f t="shared" si="8"/>
        <v>3.8491200000000003E-2</v>
      </c>
      <c r="N21" s="1496">
        <f t="shared" si="7"/>
        <v>0.38491200000000003</v>
      </c>
    </row>
    <row r="22" spans="2:14" s="1491" customFormat="1" ht="24.95" customHeight="1">
      <c r="B22" s="1494">
        <v>13</v>
      </c>
      <c r="C22" s="1495" t="s">
        <v>2414</v>
      </c>
      <c r="D22" s="1494">
        <v>24</v>
      </c>
      <c r="E22" s="1494">
        <f>6400+2450</f>
        <v>8850</v>
      </c>
      <c r="F22" s="1494">
        <f t="shared" si="0"/>
        <v>17257.5</v>
      </c>
      <c r="G22" s="1494">
        <f t="shared" si="1"/>
        <v>58144.5</v>
      </c>
      <c r="H22" s="1494">
        <f t="shared" si="2"/>
        <v>1327.5</v>
      </c>
      <c r="I22" s="1494">
        <f t="shared" si="3"/>
        <v>6000</v>
      </c>
      <c r="J22" s="1494">
        <f t="shared" si="4"/>
        <v>12000</v>
      </c>
      <c r="K22" s="1494">
        <f t="shared" si="5"/>
        <v>885</v>
      </c>
      <c r="L22" s="1494">
        <f t="shared" si="6"/>
        <v>1.8845999999999999E-3</v>
      </c>
      <c r="M22" s="1496">
        <f t="shared" si="8"/>
        <v>2.2615199999999998E-2</v>
      </c>
      <c r="N22" s="1496">
        <f t="shared" si="7"/>
        <v>0.54276479999999994</v>
      </c>
    </row>
    <row r="23" spans="2:14" s="1491" customFormat="1" ht="24.95" customHeight="1">
      <c r="B23" s="1495"/>
      <c r="C23" s="1497" t="s">
        <v>287</v>
      </c>
      <c r="D23" s="1498">
        <f>SUM(D8:D22)</f>
        <v>797</v>
      </c>
      <c r="E23" s="1494"/>
      <c r="F23" s="1494"/>
      <c r="G23" s="1494"/>
      <c r="H23" s="1494"/>
      <c r="I23" s="1494"/>
      <c r="J23" s="1494"/>
      <c r="K23" s="1494"/>
      <c r="L23" s="1494"/>
      <c r="M23" s="1494"/>
      <c r="N23" s="1499">
        <f>SUM(N8:N22)</f>
        <v>26.589122399999997</v>
      </c>
    </row>
    <row r="24" spans="2:14" hidden="1">
      <c r="B24" s="289"/>
      <c r="C24" s="289"/>
      <c r="D24" s="289">
        <f>142+655</f>
        <v>797</v>
      </c>
      <c r="E24" s="289"/>
      <c r="F24" s="971"/>
      <c r="G24" s="971"/>
      <c r="H24" s="971"/>
      <c r="I24" s="971"/>
      <c r="J24" s="971"/>
      <c r="K24" s="971"/>
      <c r="L24" s="971"/>
      <c r="M24" s="971"/>
      <c r="N24" s="1118">
        <f>N23/10^7</f>
        <v>2.6589122399999996E-6</v>
      </c>
    </row>
    <row r="27" spans="2:14">
      <c r="B27" s="1541" t="s">
        <v>2590</v>
      </c>
      <c r="C27" s="1541"/>
      <c r="D27" s="1541"/>
      <c r="E27" s="1541"/>
      <c r="F27" s="1541"/>
      <c r="G27" s="1541"/>
      <c r="H27" s="1541"/>
      <c r="I27" s="1541"/>
      <c r="J27" s="1541"/>
      <c r="K27" s="1541"/>
      <c r="L27" s="1541"/>
      <c r="M27" s="1541"/>
      <c r="N27" s="1542" t="s">
        <v>96</v>
      </c>
    </row>
    <row r="28" spans="2:14">
      <c r="B28" s="1541"/>
      <c r="C28" s="1541"/>
      <c r="D28" s="1541"/>
      <c r="E28" s="1541"/>
      <c r="F28" s="1543"/>
      <c r="G28" s="1543">
        <v>0.79</v>
      </c>
      <c r="H28" s="1543">
        <v>0.15</v>
      </c>
      <c r="I28" s="1541">
        <v>500</v>
      </c>
      <c r="J28" s="1541">
        <v>1000</v>
      </c>
      <c r="K28" s="1543">
        <v>0.1</v>
      </c>
      <c r="L28" s="1543"/>
      <c r="M28" s="1541"/>
      <c r="N28" s="1541"/>
    </row>
    <row r="29" spans="2:14" ht="60.75">
      <c r="B29" s="1544" t="s">
        <v>1003</v>
      </c>
      <c r="C29" s="1544" t="s">
        <v>2390</v>
      </c>
      <c r="D29" s="1544" t="s">
        <v>2391</v>
      </c>
      <c r="E29" s="1544" t="s">
        <v>2392</v>
      </c>
      <c r="F29" s="1544"/>
      <c r="G29" s="1544" t="s">
        <v>2628</v>
      </c>
      <c r="H29" s="1544" t="s">
        <v>2257</v>
      </c>
      <c r="I29" s="1544" t="s">
        <v>2395</v>
      </c>
      <c r="J29" s="1544" t="s">
        <v>2396</v>
      </c>
      <c r="K29" s="1544" t="s">
        <v>2258</v>
      </c>
      <c r="L29" s="1544" t="s">
        <v>2565</v>
      </c>
      <c r="M29" s="1544" t="s">
        <v>2415</v>
      </c>
      <c r="N29" s="1544" t="s">
        <v>2416</v>
      </c>
    </row>
    <row r="30" spans="2:14" ht="20.25">
      <c r="B30" s="1545">
        <v>1</v>
      </c>
      <c r="C30" s="1546" t="s">
        <v>2401</v>
      </c>
      <c r="D30" s="1547">
        <v>88</v>
      </c>
      <c r="E30" s="1545">
        <f>16650+5800</f>
        <v>22450</v>
      </c>
      <c r="F30" s="1545"/>
      <c r="G30" s="1545">
        <f>E30*$G$6*12</f>
        <v>196662</v>
      </c>
      <c r="H30" s="1545">
        <f>E30*$H$6</f>
        <v>3367.5</v>
      </c>
      <c r="I30" s="1545">
        <f>$I$6*12</f>
        <v>6000</v>
      </c>
      <c r="J30" s="1545">
        <f>$J$6*12</f>
        <v>12000</v>
      </c>
      <c r="K30" s="1545">
        <f>E30*$K$6</f>
        <v>2245</v>
      </c>
      <c r="L30" s="1545">
        <f>M30/12</f>
        <v>4.5951000000000004E-3</v>
      </c>
      <c r="M30" s="1548">
        <f t="shared" ref="M30:M44" si="9">SUM(E30*12+F30+G30+H30*12+I30+J30+K30*12)/10^7</f>
        <v>5.5141200000000001E-2</v>
      </c>
      <c r="N30" s="1548">
        <f t="shared" ref="N30:N44" si="10">M30*D30</f>
        <v>4.8524256000000001</v>
      </c>
    </row>
    <row r="31" spans="2:14" ht="20.25">
      <c r="B31" s="1545">
        <v>2</v>
      </c>
      <c r="C31" s="1546" t="s">
        <v>2402</v>
      </c>
      <c r="D31" s="1547">
        <v>4</v>
      </c>
      <c r="E31" s="1545">
        <f>16650+5800</f>
        <v>22450</v>
      </c>
      <c r="F31" s="1545"/>
      <c r="G31" s="1545">
        <f t="shared" ref="G31:G44" si="11">E31*$G$6*12</f>
        <v>196662</v>
      </c>
      <c r="H31" s="1545">
        <f t="shared" ref="H31:H44" si="12">E31*$H$6</f>
        <v>3367.5</v>
      </c>
      <c r="I31" s="1545">
        <f t="shared" ref="I31:I44" si="13">$I$6*12</f>
        <v>6000</v>
      </c>
      <c r="J31" s="1545">
        <f t="shared" ref="J31:J44" si="14">$J$6*12</f>
        <v>12000</v>
      </c>
      <c r="K31" s="1545">
        <f t="shared" ref="K31:K44" si="15">E31*$K$6</f>
        <v>2245</v>
      </c>
      <c r="L31" s="1545">
        <f t="shared" ref="L31:L44" si="16">M31/12</f>
        <v>4.5951000000000004E-3</v>
      </c>
      <c r="M31" s="1548">
        <f t="shared" si="9"/>
        <v>5.5141200000000001E-2</v>
      </c>
      <c r="N31" s="1548">
        <f t="shared" si="10"/>
        <v>0.22056480000000001</v>
      </c>
    </row>
    <row r="32" spans="2:14" ht="20.25">
      <c r="B32" s="1545">
        <v>3</v>
      </c>
      <c r="C32" s="1546" t="s">
        <v>2403</v>
      </c>
      <c r="D32" s="1547">
        <v>39</v>
      </c>
      <c r="E32" s="1545">
        <f>10900+4450</f>
        <v>15350</v>
      </c>
      <c r="F32" s="1545"/>
      <c r="G32" s="1545">
        <f t="shared" si="11"/>
        <v>134466</v>
      </c>
      <c r="H32" s="1545">
        <f t="shared" si="12"/>
        <v>2302.5</v>
      </c>
      <c r="I32" s="1545">
        <f t="shared" si="13"/>
        <v>6000</v>
      </c>
      <c r="J32" s="1545">
        <f t="shared" si="14"/>
        <v>12000</v>
      </c>
      <c r="K32" s="1545">
        <f t="shared" si="15"/>
        <v>1535</v>
      </c>
      <c r="L32" s="1545">
        <f t="shared" si="16"/>
        <v>3.1893000000000004E-3</v>
      </c>
      <c r="M32" s="1548">
        <f t="shared" si="9"/>
        <v>3.8271600000000003E-2</v>
      </c>
      <c r="N32" s="1548">
        <f t="shared" si="10"/>
        <v>1.4925924000000002</v>
      </c>
    </row>
    <row r="33" spans="2:14" ht="20.25">
      <c r="B33" s="1545">
        <v>4</v>
      </c>
      <c r="C33" s="1546" t="s">
        <v>2404</v>
      </c>
      <c r="D33" s="1547">
        <v>16</v>
      </c>
      <c r="E33" s="1545">
        <f>10900+4450</f>
        <v>15350</v>
      </c>
      <c r="F33" s="1545"/>
      <c r="G33" s="1545">
        <f t="shared" si="11"/>
        <v>134466</v>
      </c>
      <c r="H33" s="1545">
        <f t="shared" si="12"/>
        <v>2302.5</v>
      </c>
      <c r="I33" s="1545">
        <f t="shared" si="13"/>
        <v>6000</v>
      </c>
      <c r="J33" s="1545">
        <f t="shared" si="14"/>
        <v>12000</v>
      </c>
      <c r="K33" s="1545">
        <f t="shared" si="15"/>
        <v>1535</v>
      </c>
      <c r="L33" s="1545">
        <f t="shared" si="16"/>
        <v>3.1893000000000004E-3</v>
      </c>
      <c r="M33" s="1548">
        <f t="shared" si="9"/>
        <v>3.8271600000000003E-2</v>
      </c>
      <c r="N33" s="1548">
        <f t="shared" si="10"/>
        <v>0.61234560000000005</v>
      </c>
    </row>
    <row r="34" spans="2:14" ht="20.25">
      <c r="B34" s="1545">
        <v>5</v>
      </c>
      <c r="C34" s="1546" t="s">
        <v>2405</v>
      </c>
      <c r="D34" s="1547">
        <v>2</v>
      </c>
      <c r="E34" s="1545">
        <f>16650+5800</f>
        <v>22450</v>
      </c>
      <c r="F34" s="1545"/>
      <c r="G34" s="1545">
        <f t="shared" si="11"/>
        <v>196662</v>
      </c>
      <c r="H34" s="1545">
        <f t="shared" si="12"/>
        <v>3367.5</v>
      </c>
      <c r="I34" s="1545">
        <f t="shared" si="13"/>
        <v>6000</v>
      </c>
      <c r="J34" s="1545">
        <f t="shared" si="14"/>
        <v>12000</v>
      </c>
      <c r="K34" s="1545">
        <f t="shared" si="15"/>
        <v>2245</v>
      </c>
      <c r="L34" s="1545">
        <f t="shared" si="16"/>
        <v>4.5951000000000004E-3</v>
      </c>
      <c r="M34" s="1548">
        <f t="shared" si="9"/>
        <v>5.5141200000000001E-2</v>
      </c>
      <c r="N34" s="1548">
        <f t="shared" si="10"/>
        <v>0.1102824</v>
      </c>
    </row>
    <row r="35" spans="2:14" ht="20.25">
      <c r="B35" s="1545">
        <v>6</v>
      </c>
      <c r="C35" s="1546" t="s">
        <v>2406</v>
      </c>
      <c r="D35" s="1547"/>
      <c r="E35" s="1545">
        <f>10900+5500</f>
        <v>16400</v>
      </c>
      <c r="F35" s="1545"/>
      <c r="G35" s="1545">
        <f t="shared" si="11"/>
        <v>143664</v>
      </c>
      <c r="H35" s="1545">
        <f t="shared" si="12"/>
        <v>2460</v>
      </c>
      <c r="I35" s="1545">
        <f t="shared" si="13"/>
        <v>6000</v>
      </c>
      <c r="J35" s="1545">
        <f t="shared" si="14"/>
        <v>12000</v>
      </c>
      <c r="K35" s="1545">
        <f t="shared" si="15"/>
        <v>1640</v>
      </c>
      <c r="L35" s="1545">
        <f t="shared" si="16"/>
        <v>3.3972E-3</v>
      </c>
      <c r="M35" s="1548">
        <f t="shared" si="9"/>
        <v>4.0766400000000001E-2</v>
      </c>
      <c r="N35" s="1548">
        <f t="shared" si="10"/>
        <v>0</v>
      </c>
    </row>
    <row r="36" spans="2:14" ht="20.25">
      <c r="B36" s="1545" t="s">
        <v>2397</v>
      </c>
      <c r="C36" s="1546" t="s">
        <v>2408</v>
      </c>
      <c r="D36" s="1547">
        <v>8</v>
      </c>
      <c r="E36" s="1545">
        <f>6400+3200</f>
        <v>9600</v>
      </c>
      <c r="F36" s="1545"/>
      <c r="G36" s="1545">
        <f t="shared" si="11"/>
        <v>84096</v>
      </c>
      <c r="H36" s="1545">
        <f t="shared" si="12"/>
        <v>1440</v>
      </c>
      <c r="I36" s="1545">
        <f t="shared" si="13"/>
        <v>6000</v>
      </c>
      <c r="J36" s="1545">
        <f t="shared" si="14"/>
        <v>12000</v>
      </c>
      <c r="K36" s="1545">
        <f t="shared" si="15"/>
        <v>960</v>
      </c>
      <c r="L36" s="1545">
        <f t="shared" si="16"/>
        <v>2.0507999999999998E-3</v>
      </c>
      <c r="M36" s="1548">
        <f t="shared" si="9"/>
        <v>2.4609599999999999E-2</v>
      </c>
      <c r="N36" s="1548">
        <f t="shared" si="10"/>
        <v>0.19687679999999999</v>
      </c>
    </row>
    <row r="37" spans="2:14" ht="20.25">
      <c r="B37" s="1545" t="s">
        <v>2398</v>
      </c>
      <c r="C37" s="1546" t="s">
        <v>2407</v>
      </c>
      <c r="D37" s="1547">
        <v>7</v>
      </c>
      <c r="E37" s="1545">
        <f>6400+3200</f>
        <v>9600</v>
      </c>
      <c r="F37" s="1545"/>
      <c r="G37" s="1545">
        <f t="shared" si="11"/>
        <v>84096</v>
      </c>
      <c r="H37" s="1545">
        <f t="shared" si="12"/>
        <v>1440</v>
      </c>
      <c r="I37" s="1545">
        <f t="shared" si="13"/>
        <v>6000</v>
      </c>
      <c r="J37" s="1545">
        <f t="shared" si="14"/>
        <v>12000</v>
      </c>
      <c r="K37" s="1545">
        <f t="shared" si="15"/>
        <v>960</v>
      </c>
      <c r="L37" s="1545">
        <f t="shared" si="16"/>
        <v>2.0507999999999998E-3</v>
      </c>
      <c r="M37" s="1548">
        <f t="shared" si="9"/>
        <v>2.4609599999999999E-2</v>
      </c>
      <c r="N37" s="1548">
        <f t="shared" si="10"/>
        <v>0.17226719999999998</v>
      </c>
    </row>
    <row r="38" spans="2:14" ht="20.25">
      <c r="B38" s="1545">
        <v>8</v>
      </c>
      <c r="C38" s="1546" t="s">
        <v>2409</v>
      </c>
      <c r="D38" s="1547">
        <v>190</v>
      </c>
      <c r="E38" s="1545">
        <f>6400+2950</f>
        <v>9350</v>
      </c>
      <c r="F38" s="1545"/>
      <c r="G38" s="1545">
        <f t="shared" si="11"/>
        <v>81906</v>
      </c>
      <c r="H38" s="1545">
        <f t="shared" si="12"/>
        <v>1402.5</v>
      </c>
      <c r="I38" s="1545">
        <f t="shared" si="13"/>
        <v>6000</v>
      </c>
      <c r="J38" s="1545">
        <f t="shared" si="14"/>
        <v>12000</v>
      </c>
      <c r="K38" s="1545">
        <f t="shared" si="15"/>
        <v>935</v>
      </c>
      <c r="L38" s="1545">
        <f t="shared" si="16"/>
        <v>2.0013000000000001E-3</v>
      </c>
      <c r="M38" s="1548">
        <f t="shared" si="9"/>
        <v>2.4015600000000002E-2</v>
      </c>
      <c r="N38" s="1548">
        <f t="shared" si="10"/>
        <v>4.562964</v>
      </c>
    </row>
    <row r="39" spans="2:14" ht="20.25">
      <c r="B39" s="1545" t="s">
        <v>2399</v>
      </c>
      <c r="C39" s="1546" t="s">
        <v>2410</v>
      </c>
      <c r="D39" s="1547">
        <v>7</v>
      </c>
      <c r="E39" s="1545">
        <f>10900+4450</f>
        <v>15350</v>
      </c>
      <c r="F39" s="1545"/>
      <c r="G39" s="1545">
        <f t="shared" si="11"/>
        <v>134466</v>
      </c>
      <c r="H39" s="1545">
        <f t="shared" si="12"/>
        <v>2302.5</v>
      </c>
      <c r="I39" s="1545">
        <f t="shared" si="13"/>
        <v>6000</v>
      </c>
      <c r="J39" s="1545">
        <f t="shared" si="14"/>
        <v>12000</v>
      </c>
      <c r="K39" s="1545">
        <f t="shared" si="15"/>
        <v>1535</v>
      </c>
      <c r="L39" s="1545">
        <f t="shared" si="16"/>
        <v>3.1893000000000004E-3</v>
      </c>
      <c r="M39" s="1548">
        <f t="shared" si="9"/>
        <v>3.8271600000000003E-2</v>
      </c>
      <c r="N39" s="1548">
        <f t="shared" si="10"/>
        <v>0.26790120000000001</v>
      </c>
    </row>
    <row r="40" spans="2:14" ht="20.25">
      <c r="B40" s="1545" t="s">
        <v>2400</v>
      </c>
      <c r="C40" s="1546" t="s">
        <v>2410</v>
      </c>
      <c r="D40" s="1547">
        <v>3</v>
      </c>
      <c r="E40" s="1545">
        <f>10900+4450</f>
        <v>15350</v>
      </c>
      <c r="F40" s="1545"/>
      <c r="G40" s="1545">
        <f t="shared" si="11"/>
        <v>134466</v>
      </c>
      <c r="H40" s="1545">
        <f t="shared" si="12"/>
        <v>2302.5</v>
      </c>
      <c r="I40" s="1545">
        <f t="shared" si="13"/>
        <v>6000</v>
      </c>
      <c r="J40" s="1545">
        <f t="shared" si="14"/>
        <v>12000</v>
      </c>
      <c r="K40" s="1545">
        <f t="shared" si="15"/>
        <v>1535</v>
      </c>
      <c r="L40" s="1545">
        <f t="shared" si="16"/>
        <v>3.1893000000000004E-3</v>
      </c>
      <c r="M40" s="1548">
        <f t="shared" si="9"/>
        <v>3.8271600000000003E-2</v>
      </c>
      <c r="N40" s="1548">
        <f t="shared" si="10"/>
        <v>0.11481480000000001</v>
      </c>
    </row>
    <row r="41" spans="2:14" ht="20.25">
      <c r="B41" s="1545">
        <v>10</v>
      </c>
      <c r="C41" s="1546" t="s">
        <v>2411</v>
      </c>
      <c r="D41" s="1547"/>
      <c r="E41" s="1545">
        <f>16650+5800</f>
        <v>22450</v>
      </c>
      <c r="F41" s="1545"/>
      <c r="G41" s="1545">
        <f t="shared" si="11"/>
        <v>196662</v>
      </c>
      <c r="H41" s="1545">
        <f t="shared" si="12"/>
        <v>3367.5</v>
      </c>
      <c r="I41" s="1545">
        <f t="shared" si="13"/>
        <v>6000</v>
      </c>
      <c r="J41" s="1545">
        <f t="shared" si="14"/>
        <v>12000</v>
      </c>
      <c r="K41" s="1545">
        <f t="shared" si="15"/>
        <v>2245</v>
      </c>
      <c r="L41" s="1545">
        <f t="shared" si="16"/>
        <v>4.5951000000000004E-3</v>
      </c>
      <c r="M41" s="1548">
        <f t="shared" si="9"/>
        <v>5.5141200000000001E-2</v>
      </c>
      <c r="N41" s="1548">
        <f t="shared" si="10"/>
        <v>0</v>
      </c>
    </row>
    <row r="42" spans="2:14" ht="20.25">
      <c r="B42" s="1545">
        <v>11</v>
      </c>
      <c r="C42" s="1546" t="s">
        <v>2412</v>
      </c>
      <c r="D42" s="1547"/>
      <c r="E42" s="1545">
        <f>16650+5800</f>
        <v>22450</v>
      </c>
      <c r="F42" s="1545"/>
      <c r="G42" s="1545">
        <f t="shared" si="11"/>
        <v>196662</v>
      </c>
      <c r="H42" s="1545">
        <f t="shared" si="12"/>
        <v>3367.5</v>
      </c>
      <c r="I42" s="1545">
        <f t="shared" si="13"/>
        <v>6000</v>
      </c>
      <c r="J42" s="1545">
        <f t="shared" si="14"/>
        <v>12000</v>
      </c>
      <c r="K42" s="1545">
        <f t="shared" si="15"/>
        <v>2245</v>
      </c>
      <c r="L42" s="1545">
        <f t="shared" si="16"/>
        <v>4.5951000000000004E-3</v>
      </c>
      <c r="M42" s="1548">
        <f t="shared" si="9"/>
        <v>5.5141200000000001E-2</v>
      </c>
      <c r="N42" s="1548">
        <f t="shared" si="10"/>
        <v>0</v>
      </c>
    </row>
    <row r="43" spans="2:14" ht="20.25">
      <c r="B43" s="1545">
        <v>12</v>
      </c>
      <c r="C43" s="1546" t="s">
        <v>2413</v>
      </c>
      <c r="D43" s="1547">
        <v>4</v>
      </c>
      <c r="E43" s="1545">
        <f>10900+4700</f>
        <v>15600</v>
      </c>
      <c r="F43" s="1545"/>
      <c r="G43" s="1545">
        <f t="shared" si="11"/>
        <v>136656</v>
      </c>
      <c r="H43" s="1545">
        <f t="shared" si="12"/>
        <v>2340</v>
      </c>
      <c r="I43" s="1545">
        <f t="shared" si="13"/>
        <v>6000</v>
      </c>
      <c r="J43" s="1545">
        <f t="shared" si="14"/>
        <v>12000</v>
      </c>
      <c r="K43" s="1545">
        <f t="shared" si="15"/>
        <v>1560</v>
      </c>
      <c r="L43" s="1545">
        <f t="shared" si="16"/>
        <v>3.2388E-3</v>
      </c>
      <c r="M43" s="1548">
        <f t="shared" si="9"/>
        <v>3.88656E-2</v>
      </c>
      <c r="N43" s="1548">
        <f t="shared" si="10"/>
        <v>0.1554624</v>
      </c>
    </row>
    <row r="44" spans="2:14" ht="20.25">
      <c r="B44" s="1545">
        <v>13</v>
      </c>
      <c r="C44" s="1546" t="s">
        <v>2414</v>
      </c>
      <c r="D44" s="1547">
        <v>19</v>
      </c>
      <c r="E44" s="1545">
        <f>6400+2450</f>
        <v>8850</v>
      </c>
      <c r="F44" s="1545"/>
      <c r="G44" s="1545">
        <f t="shared" si="11"/>
        <v>77526</v>
      </c>
      <c r="H44" s="1545">
        <f t="shared" si="12"/>
        <v>1327.5</v>
      </c>
      <c r="I44" s="1545">
        <f t="shared" si="13"/>
        <v>6000</v>
      </c>
      <c r="J44" s="1545">
        <f t="shared" si="14"/>
        <v>12000</v>
      </c>
      <c r="K44" s="1545">
        <f t="shared" si="15"/>
        <v>885</v>
      </c>
      <c r="L44" s="1545">
        <f t="shared" si="16"/>
        <v>1.9023E-3</v>
      </c>
      <c r="M44" s="1548">
        <f t="shared" si="9"/>
        <v>2.28276E-2</v>
      </c>
      <c r="N44" s="1548">
        <f t="shared" si="10"/>
        <v>0.43372440000000001</v>
      </c>
    </row>
    <row r="45" spans="2:14" ht="20.25">
      <c r="B45" s="1546"/>
      <c r="C45" s="1549" t="s">
        <v>287</v>
      </c>
      <c r="D45" s="1550">
        <f>SUM(D30:D44)</f>
        <v>387</v>
      </c>
      <c r="E45" s="1545"/>
      <c r="F45" s="1545"/>
      <c r="G45" s="1545"/>
      <c r="H45" s="1545"/>
      <c r="I45" s="1545"/>
      <c r="J45" s="1545"/>
      <c r="K45" s="1545"/>
      <c r="L45" s="1545"/>
      <c r="M45" s="1545"/>
      <c r="N45" s="1551">
        <f>SUM(N30:N44)</f>
        <v>13.1922216</v>
      </c>
    </row>
    <row r="46" spans="2:14">
      <c r="B46" s="1552"/>
      <c r="C46" s="1552"/>
      <c r="D46" s="1552">
        <f>142+655</f>
        <v>797</v>
      </c>
      <c r="E46" s="1552"/>
      <c r="F46" s="1553"/>
      <c r="G46" s="1553"/>
      <c r="H46" s="1553"/>
      <c r="I46" s="1553"/>
      <c r="J46" s="1553"/>
      <c r="K46" s="1553"/>
      <c r="L46" s="1553"/>
      <c r="M46" s="1553"/>
      <c r="N46" s="1554">
        <f>N45/10^7</f>
        <v>1.3192221599999999E-6</v>
      </c>
    </row>
  </sheetData>
  <sheetProtection selectLockedCells="1" selectUnlockedCells="1"/>
  <mergeCells count="4">
    <mergeCell ref="B1:M1"/>
    <mergeCell ref="B2:M2"/>
    <mergeCell ref="B3:M3"/>
    <mergeCell ref="B4:M4"/>
  </mergeCells>
  <pageMargins left="0.7" right="0.7" top="0.75" bottom="0.75" header="0.3" footer="0.3"/>
  <pageSetup paperSize="9" scale="64" firstPageNumber="119" orientation="landscape" useFirstPageNumber="1" r:id="rId1"/>
  <headerFooter>
    <oddFooter>&amp;R&amp;P</oddFooter>
  </headerFooter>
  <rowBreaks count="1" manualBreakCount="1">
    <brk id="25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9"/>
  <sheetViews>
    <sheetView view="pageBreakPreview" topLeftCell="A20" zoomScale="69" zoomScaleSheetLayoutView="69" workbookViewId="0">
      <selection activeCell="J76" sqref="J76"/>
    </sheetView>
  </sheetViews>
  <sheetFormatPr defaultRowHeight="15" customHeight="1"/>
  <cols>
    <col min="1" max="1" width="5.140625" style="2" customWidth="1"/>
    <col min="2" max="2" width="7.140625" style="2" customWidth="1"/>
    <col min="3" max="3" width="44.42578125" style="2" customWidth="1"/>
    <col min="4" max="4" width="12.5703125" style="2" customWidth="1"/>
    <col min="5" max="7" width="12.85546875" style="2" customWidth="1"/>
    <col min="8" max="8" width="26.28515625" style="2" bestFit="1" customWidth="1"/>
    <col min="9" max="9" width="21.5703125" style="2" bestFit="1" customWidth="1"/>
    <col min="10" max="10" width="22.5703125" style="2" customWidth="1"/>
    <col min="11" max="11" width="22.28515625" style="2" customWidth="1"/>
    <col min="12" max="12" width="13.42578125" style="2" customWidth="1"/>
    <col min="13" max="13" width="19.140625" style="2" customWidth="1"/>
    <col min="14" max="14" width="11.140625" style="2" hidden="1" customWidth="1"/>
    <col min="15" max="15" width="9.140625" style="2" hidden="1" customWidth="1"/>
    <col min="16" max="16" width="13.140625" style="2" hidden="1" customWidth="1"/>
    <col min="17" max="22" width="9.140625" style="2" hidden="1" customWidth="1"/>
    <col min="23" max="25" width="9.140625" style="2" customWidth="1"/>
    <col min="26" max="16384" width="9.140625" style="2"/>
  </cols>
  <sheetData>
    <row r="1" spans="2:20" s="8" customFormat="1" ht="16.5" customHeight="1">
      <c r="B1" s="2418" t="s">
        <v>2549</v>
      </c>
      <c r="C1" s="2418"/>
      <c r="D1" s="2418"/>
      <c r="E1" s="2418"/>
      <c r="F1" s="2418"/>
      <c r="G1" s="2418"/>
      <c r="H1" s="2418"/>
      <c r="I1" s="2418"/>
      <c r="J1" s="2418"/>
      <c r="K1" s="2418"/>
      <c r="L1" s="2418"/>
      <c r="M1" s="2418"/>
      <c r="P1" s="2" t="s">
        <v>1439</v>
      </c>
      <c r="T1" s="640">
        <v>0.05</v>
      </c>
    </row>
    <row r="2" spans="2:20" s="8" customFormat="1" ht="16.5" customHeight="1">
      <c r="B2" s="2419" t="s">
        <v>2689</v>
      </c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P2" s="2" t="s">
        <v>1440</v>
      </c>
      <c r="T2" s="640">
        <v>0.09</v>
      </c>
    </row>
    <row r="3" spans="2:20" s="8" customFormat="1" ht="16.5" customHeight="1">
      <c r="B3" s="1843"/>
      <c r="C3" s="1843"/>
      <c r="D3" s="1843"/>
      <c r="E3" s="1843"/>
      <c r="F3" s="1843"/>
      <c r="G3" s="1843"/>
      <c r="H3" s="1843"/>
      <c r="I3" s="7"/>
      <c r="P3" s="2"/>
      <c r="T3" s="640"/>
    </row>
    <row r="4" spans="2:20" s="8" customFormat="1" ht="16.5" customHeight="1">
      <c r="B4" s="2419" t="s">
        <v>2574</v>
      </c>
      <c r="C4" s="2419"/>
      <c r="D4" s="2419"/>
      <c r="E4" s="2419"/>
      <c r="F4" s="2419"/>
      <c r="G4" s="2419"/>
      <c r="H4" s="2419"/>
      <c r="I4" s="2419"/>
      <c r="J4" s="2419"/>
      <c r="K4" s="2419"/>
      <c r="L4" s="2419"/>
      <c r="M4" s="2419"/>
      <c r="P4" s="2"/>
      <c r="T4" s="640"/>
    </row>
    <row r="5" spans="2:20" ht="15.75">
      <c r="B5" s="2435" t="s">
        <v>330</v>
      </c>
      <c r="C5" s="2435"/>
      <c r="D5" s="2435"/>
      <c r="E5" s="2435"/>
      <c r="F5" s="2435"/>
      <c r="G5" s="2435"/>
      <c r="H5" s="2435"/>
      <c r="I5" s="2435"/>
      <c r="J5" s="2435"/>
      <c r="K5" s="2435"/>
      <c r="L5" s="2435"/>
      <c r="M5" s="2435"/>
      <c r="S5" s="2" t="s">
        <v>2544</v>
      </c>
      <c r="T5" s="61">
        <f>I18</f>
        <v>0</v>
      </c>
    </row>
    <row r="6" spans="2:20" ht="16.5" thickBot="1">
      <c r="D6" s="1855"/>
      <c r="E6" s="1855"/>
      <c r="F6" s="1855"/>
      <c r="G6" s="1855"/>
      <c r="I6" s="205"/>
      <c r="J6" s="83"/>
      <c r="M6" s="1855" t="s">
        <v>97</v>
      </c>
    </row>
    <row r="7" spans="2:20" s="1845" customFormat="1" ht="33" customHeight="1">
      <c r="B7" s="2477" t="s">
        <v>1003</v>
      </c>
      <c r="C7" s="2452" t="s">
        <v>282</v>
      </c>
      <c r="D7" s="2452" t="s">
        <v>1034</v>
      </c>
      <c r="E7" s="2452"/>
      <c r="F7" s="2452"/>
      <c r="G7" s="2452"/>
      <c r="H7" s="2452" t="s">
        <v>2591</v>
      </c>
      <c r="I7" s="2452"/>
      <c r="J7" s="2452"/>
      <c r="K7" s="2452"/>
      <c r="L7" s="2452"/>
      <c r="M7" s="2142" t="s">
        <v>2592</v>
      </c>
    </row>
    <row r="8" spans="2:20" s="1845" customFormat="1" ht="34.5" customHeight="1">
      <c r="B8" s="2478"/>
      <c r="C8" s="2443"/>
      <c r="D8" s="2140" t="s">
        <v>1035</v>
      </c>
      <c r="E8" s="2140" t="s">
        <v>1036</v>
      </c>
      <c r="F8" s="2140" t="s">
        <v>1038</v>
      </c>
      <c r="G8" s="2140" t="s">
        <v>1037</v>
      </c>
      <c r="H8" s="2140" t="s">
        <v>1035</v>
      </c>
      <c r="I8" s="2140" t="s">
        <v>1036</v>
      </c>
      <c r="J8" s="2140" t="s">
        <v>1047</v>
      </c>
      <c r="K8" s="2140" t="s">
        <v>2566</v>
      </c>
      <c r="L8" s="2140" t="s">
        <v>287</v>
      </c>
      <c r="M8" s="2141" t="s">
        <v>1040</v>
      </c>
    </row>
    <row r="9" spans="2:20" s="1845" customFormat="1" ht="18.75" customHeight="1">
      <c r="B9" s="2143"/>
      <c r="C9" s="2140" t="s">
        <v>2553</v>
      </c>
      <c r="D9" s="2140">
        <v>1</v>
      </c>
      <c r="E9" s="2140">
        <v>2</v>
      </c>
      <c r="F9" s="2140">
        <v>3</v>
      </c>
      <c r="G9" s="2140">
        <v>4</v>
      </c>
      <c r="H9" s="2140">
        <v>1</v>
      </c>
      <c r="I9" s="2140">
        <v>2</v>
      </c>
      <c r="J9" s="2140">
        <v>3</v>
      </c>
      <c r="K9" s="2140">
        <v>4</v>
      </c>
      <c r="L9" s="2140" t="s">
        <v>2578</v>
      </c>
      <c r="M9" s="2141">
        <v>6</v>
      </c>
    </row>
    <row r="10" spans="2:20" ht="21" customHeight="1">
      <c r="B10" s="1844">
        <v>1</v>
      </c>
      <c r="C10" s="1764" t="s">
        <v>308</v>
      </c>
      <c r="D10" s="335">
        <f>27.4732</f>
        <v>27.473199999999999</v>
      </c>
      <c r="E10" s="62"/>
      <c r="F10" s="335">
        <f>'Schedules of Accounts'!E36/10^7</f>
        <v>9.8366351000000005</v>
      </c>
      <c r="G10" s="62">
        <f>F10</f>
        <v>9.8366351000000005</v>
      </c>
      <c r="H10" s="1463"/>
      <c r="I10" s="2476"/>
      <c r="J10" s="333">
        <v>8.6306557999999995</v>
      </c>
      <c r="K10" s="333">
        <v>31.925345622119817</v>
      </c>
      <c r="L10" s="1463">
        <f>SUM(J10:K10)</f>
        <v>40.55600142211982</v>
      </c>
      <c r="M10" s="1567">
        <f>L10*(1.1)</f>
        <v>44.611601564331806</v>
      </c>
    </row>
    <row r="11" spans="2:20" ht="28.5" customHeight="1">
      <c r="B11" s="1844">
        <v>2</v>
      </c>
      <c r="C11" s="1764" t="s">
        <v>182</v>
      </c>
      <c r="D11" s="335">
        <f>4.0625</f>
        <v>4.0625</v>
      </c>
      <c r="E11" s="62"/>
      <c r="F11" s="335">
        <f>'Schedules of Accounts'!E37/10^7</f>
        <v>1.1366693000000001</v>
      </c>
      <c r="G11" s="62">
        <f t="shared" ref="G11:G16" si="0">F11</f>
        <v>1.1366693000000001</v>
      </c>
      <c r="H11" s="1463"/>
      <c r="I11" s="2476"/>
      <c r="J11" s="333">
        <v>0.97070680000000009</v>
      </c>
      <c r="K11" s="333">
        <v>5.4341013824884801</v>
      </c>
      <c r="L11" s="1463">
        <f t="shared" ref="L11:L17" si="1">SUM(J11:K11)</f>
        <v>6.4048081824884804</v>
      </c>
      <c r="M11" s="1567">
        <f t="shared" ref="M11:M17" si="2">L11*(1.1)</f>
        <v>7.0452890007373288</v>
      </c>
    </row>
    <row r="12" spans="2:20" ht="29.25" customHeight="1">
      <c r="B12" s="1844">
        <v>3</v>
      </c>
      <c r="C12" s="1764" t="s">
        <v>309</v>
      </c>
      <c r="D12" s="335">
        <v>0.625</v>
      </c>
      <c r="E12" s="62"/>
      <c r="F12" s="335">
        <f>('Schedules of Accounts'!E38+'Schedules of Accounts'!E39)/10^7</f>
        <v>0.14008799999999999</v>
      </c>
      <c r="G12" s="62">
        <f t="shared" si="0"/>
        <v>0.14008799999999999</v>
      </c>
      <c r="H12" s="1463"/>
      <c r="I12" s="2476"/>
      <c r="J12" s="333">
        <v>0.2290171</v>
      </c>
      <c r="K12" s="333">
        <v>4.7548387096774203</v>
      </c>
      <c r="L12" s="1463">
        <f t="shared" si="1"/>
        <v>4.9838558096774204</v>
      </c>
      <c r="M12" s="1567">
        <f t="shared" si="2"/>
        <v>5.4822413906451626</v>
      </c>
    </row>
    <row r="13" spans="2:20" ht="21" customHeight="1">
      <c r="B13" s="1844">
        <v>4</v>
      </c>
      <c r="C13" s="1764" t="s">
        <v>310</v>
      </c>
      <c r="D13" s="335">
        <v>6.2679999999999998</v>
      </c>
      <c r="E13" s="62"/>
      <c r="F13" s="335">
        <f>'Schedules of Accounts'!E40/10^7</f>
        <v>0.4715916</v>
      </c>
      <c r="G13" s="62">
        <f t="shared" si="0"/>
        <v>0.4715916</v>
      </c>
      <c r="H13" s="1463"/>
      <c r="I13" s="2476"/>
      <c r="J13" s="333">
        <v>0.15860679999999999</v>
      </c>
      <c r="K13" s="333">
        <v>1.35852534562212</v>
      </c>
      <c r="L13" s="1463">
        <f t="shared" si="1"/>
        <v>1.5171321456221201</v>
      </c>
      <c r="M13" s="1567">
        <f t="shared" si="2"/>
        <v>1.6688453601843323</v>
      </c>
    </row>
    <row r="14" spans="2:20" ht="21" customHeight="1">
      <c r="B14" s="1844">
        <v>5</v>
      </c>
      <c r="C14" s="1764" t="s">
        <v>300</v>
      </c>
      <c r="D14" s="335">
        <v>0.23849999999999999</v>
      </c>
      <c r="E14" s="62"/>
      <c r="F14" s="335">
        <f>'Schedules of Accounts'!E41/10^7</f>
        <v>0.88572830000000002</v>
      </c>
      <c r="G14" s="62">
        <f t="shared" si="0"/>
        <v>0.88572830000000002</v>
      </c>
      <c r="H14" s="1463"/>
      <c r="I14" s="2476"/>
      <c r="J14" s="333">
        <v>0.36809239999999999</v>
      </c>
      <c r="K14" s="333">
        <v>0.67926267281106001</v>
      </c>
      <c r="L14" s="1463">
        <f t="shared" si="1"/>
        <v>1.0473550728110599</v>
      </c>
      <c r="M14" s="1567">
        <f t="shared" si="2"/>
        <v>1.1520905800921659</v>
      </c>
    </row>
    <row r="15" spans="2:20" ht="21" customHeight="1">
      <c r="B15" s="1844">
        <v>6</v>
      </c>
      <c r="C15" s="1764" t="s">
        <v>311</v>
      </c>
      <c r="D15" s="335">
        <v>0.12180000000000001</v>
      </c>
      <c r="E15" s="62"/>
      <c r="F15" s="335">
        <f>'Schedules of Accounts'!E42/10^7</f>
        <v>4.6050000000000003E-4</v>
      </c>
      <c r="G15" s="62">
        <f t="shared" si="0"/>
        <v>4.6050000000000003E-4</v>
      </c>
      <c r="H15" s="1463"/>
      <c r="I15" s="2476"/>
      <c r="J15" s="333">
        <v>3.8999999999999999E-4</v>
      </c>
      <c r="K15" s="333">
        <v>3.3963133640552999E-2</v>
      </c>
      <c r="L15" s="1463">
        <f t="shared" si="1"/>
        <v>3.4353133640553001E-2</v>
      </c>
      <c r="M15" s="1567">
        <f t="shared" si="2"/>
        <v>3.7788447004608303E-2</v>
      </c>
    </row>
    <row r="16" spans="2:20" ht="21" customHeight="1">
      <c r="B16" s="1844">
        <v>7</v>
      </c>
      <c r="C16" s="1764" t="s">
        <v>312</v>
      </c>
      <c r="D16" s="335">
        <v>0</v>
      </c>
      <c r="E16" s="62"/>
      <c r="F16" s="335">
        <f>'Schedules of Accounts'!E43/10^7</f>
        <v>2.0790000000000001E-3</v>
      </c>
      <c r="G16" s="62">
        <f t="shared" si="0"/>
        <v>2.0790000000000001E-3</v>
      </c>
      <c r="H16" s="1463"/>
      <c r="I16" s="2476"/>
      <c r="J16" s="333">
        <v>1.2013E-3</v>
      </c>
      <c r="K16" s="333">
        <v>3.3963133640552999E-2</v>
      </c>
      <c r="L16" s="1463">
        <f t="shared" si="1"/>
        <v>3.5164433640553001E-2</v>
      </c>
      <c r="M16" s="1567">
        <f t="shared" si="2"/>
        <v>3.8680877004608302E-2</v>
      </c>
      <c r="P16" s="61"/>
    </row>
    <row r="17" spans="2:18" ht="21" customHeight="1">
      <c r="B17" s="1844">
        <v>8</v>
      </c>
      <c r="C17" s="1764" t="s">
        <v>313</v>
      </c>
      <c r="D17" s="335">
        <v>0</v>
      </c>
      <c r="E17" s="62"/>
      <c r="F17" s="335"/>
      <c r="G17" s="62"/>
      <c r="H17" s="1463"/>
      <c r="I17" s="2476"/>
      <c r="J17" s="333">
        <v>0</v>
      </c>
      <c r="K17" s="333">
        <v>0</v>
      </c>
      <c r="L17" s="1463">
        <f t="shared" si="1"/>
        <v>0</v>
      </c>
      <c r="M17" s="1567">
        <f t="shared" si="2"/>
        <v>0</v>
      </c>
      <c r="P17" s="61"/>
    </row>
    <row r="18" spans="2:18" ht="21" hidden="1" customHeight="1">
      <c r="B18" s="1844">
        <v>9</v>
      </c>
      <c r="C18" s="1765" t="s">
        <v>287</v>
      </c>
      <c r="D18" s="336">
        <f>SUM(D10:D17)</f>
        <v>38.789000000000001</v>
      </c>
      <c r="E18" s="336">
        <v>45.04</v>
      </c>
      <c r="F18" s="336">
        <f>SUM(F10:F17)</f>
        <v>12.473251800000002</v>
      </c>
      <c r="G18" s="336">
        <f>SUM(G10:G17)</f>
        <v>12.473251800000002</v>
      </c>
      <c r="H18" s="332">
        <v>90.31</v>
      </c>
      <c r="I18" s="2476"/>
      <c r="J18" s="336">
        <f>SUM(J10:J17)</f>
        <v>10.358670199999999</v>
      </c>
      <c r="K18" s="336">
        <f>SUM(K10:K17)</f>
        <v>44.220000000000013</v>
      </c>
      <c r="L18" s="38">
        <f>SUM(L10:L17)</f>
        <v>54.578670200000005</v>
      </c>
      <c r="M18" s="1638">
        <f>SUM(M10:M17)</f>
        <v>60.036537220000014</v>
      </c>
      <c r="P18" s="61"/>
      <c r="R18" s="61"/>
    </row>
    <row r="19" spans="2:18" ht="21" hidden="1" customHeight="1">
      <c r="B19" s="1844"/>
      <c r="C19" s="1764"/>
      <c r="D19" s="337"/>
      <c r="E19" s="337"/>
      <c r="F19" s="337"/>
      <c r="G19" s="1766"/>
      <c r="H19" s="1463"/>
      <c r="I19" s="2476"/>
      <c r="J19" s="1863"/>
      <c r="K19" s="333"/>
      <c r="L19" s="333"/>
      <c r="M19" s="1567"/>
    </row>
    <row r="20" spans="2:18" ht="21" customHeight="1">
      <c r="B20" s="1844">
        <v>9</v>
      </c>
      <c r="C20" s="1765" t="s">
        <v>314</v>
      </c>
      <c r="D20" s="332">
        <f t="shared" ref="D20:M20" si="3">SUM(D18:D19)</f>
        <v>38.789000000000001</v>
      </c>
      <c r="E20" s="332">
        <f t="shared" si="3"/>
        <v>45.04</v>
      </c>
      <c r="F20" s="332">
        <f t="shared" si="3"/>
        <v>12.473251800000002</v>
      </c>
      <c r="G20" s="332">
        <f t="shared" si="3"/>
        <v>12.473251800000002</v>
      </c>
      <c r="H20" s="332">
        <f t="shared" si="3"/>
        <v>90.31</v>
      </c>
      <c r="I20" s="2476"/>
      <c r="J20" s="332">
        <f t="shared" si="3"/>
        <v>10.358670199999999</v>
      </c>
      <c r="K20" s="332">
        <f t="shared" si="3"/>
        <v>44.220000000000013</v>
      </c>
      <c r="L20" s="38">
        <f t="shared" si="3"/>
        <v>54.578670200000005</v>
      </c>
      <c r="M20" s="1638">
        <f t="shared" si="3"/>
        <v>60.036537220000014</v>
      </c>
    </row>
    <row r="21" spans="2:18" ht="21" hidden="1" customHeight="1">
      <c r="B21" s="2433">
        <v>10</v>
      </c>
      <c r="C21" s="1764"/>
      <c r="D21" s="335"/>
      <c r="E21" s="335"/>
      <c r="F21" s="1476"/>
      <c r="G21" s="62"/>
      <c r="H21" s="1463"/>
      <c r="I21" s="2476"/>
      <c r="J21" s="1863"/>
      <c r="K21" s="333"/>
      <c r="L21" s="333"/>
      <c r="M21" s="1567"/>
    </row>
    <row r="22" spans="2:18" ht="21" customHeight="1">
      <c r="B22" s="2433"/>
      <c r="C22" s="1191" t="s">
        <v>2677</v>
      </c>
      <c r="D22" s="335"/>
      <c r="E22" s="335"/>
      <c r="F22" s="335">
        <v>0</v>
      </c>
      <c r="G22" s="62">
        <f>F22</f>
        <v>0</v>
      </c>
      <c r="H22" s="333"/>
      <c r="I22" s="2476"/>
      <c r="J22" s="333">
        <v>0.17</v>
      </c>
      <c r="K22" s="333">
        <f t="shared" ref="K22:K27" si="4">L22-J22</f>
        <v>0</v>
      </c>
      <c r="L22" s="1463">
        <v>0.17</v>
      </c>
      <c r="M22" s="1638">
        <v>0</v>
      </c>
    </row>
    <row r="23" spans="2:18" ht="21" hidden="1" customHeight="1">
      <c r="B23" s="2433"/>
      <c r="C23" s="1191"/>
      <c r="D23" s="333"/>
      <c r="E23" s="333"/>
      <c r="F23" s="335"/>
      <c r="G23" s="1566"/>
      <c r="H23" s="1463"/>
      <c r="I23" s="2476"/>
      <c r="J23" s="1863"/>
      <c r="K23" s="333"/>
      <c r="L23" s="333"/>
      <c r="M23" s="1638"/>
    </row>
    <row r="24" spans="2:18" ht="21" customHeight="1">
      <c r="B24" s="1844">
        <v>11</v>
      </c>
      <c r="C24" s="1765" t="s">
        <v>316</v>
      </c>
      <c r="D24" s="336">
        <f t="shared" ref="D24:L24" si="5">D20-D22</f>
        <v>38.789000000000001</v>
      </c>
      <c r="E24" s="332">
        <f t="shared" si="5"/>
        <v>45.04</v>
      </c>
      <c r="F24" s="332">
        <f t="shared" si="5"/>
        <v>12.473251800000002</v>
      </c>
      <c r="G24" s="332">
        <f t="shared" si="5"/>
        <v>12.473251800000002</v>
      </c>
      <c r="H24" s="332">
        <f t="shared" si="5"/>
        <v>90.31</v>
      </c>
      <c r="I24" s="2476"/>
      <c r="J24" s="332">
        <f t="shared" si="5"/>
        <v>10.188670199999999</v>
      </c>
      <c r="K24" s="332">
        <f t="shared" si="5"/>
        <v>44.220000000000013</v>
      </c>
      <c r="L24" s="38">
        <f t="shared" si="5"/>
        <v>54.408670200000003</v>
      </c>
      <c r="M24" s="1638">
        <f>M20-M22-M23</f>
        <v>60.036537220000014</v>
      </c>
    </row>
    <row r="25" spans="2:18" ht="21" hidden="1" customHeight="1">
      <c r="B25" s="1844"/>
      <c r="C25" s="1764"/>
      <c r="D25" s="335"/>
      <c r="E25" s="335"/>
      <c r="F25" s="335"/>
      <c r="G25" s="62"/>
      <c r="H25" s="1463"/>
      <c r="I25" s="2476"/>
      <c r="J25" s="333"/>
      <c r="K25" s="333"/>
      <c r="L25" s="333"/>
      <c r="M25" s="1567"/>
    </row>
    <row r="26" spans="2:18" ht="15.75">
      <c r="B26" s="1844">
        <v>12</v>
      </c>
      <c r="C26" s="1764" t="s">
        <v>157</v>
      </c>
      <c r="D26" s="335">
        <v>10.851459192291635</v>
      </c>
      <c r="E26" s="335">
        <v>3.22</v>
      </c>
      <c r="F26" s="335"/>
      <c r="G26" s="62"/>
      <c r="H26" s="333">
        <v>29.81</v>
      </c>
      <c r="I26" s="2476"/>
      <c r="J26" s="1863"/>
      <c r="K26" s="333">
        <f>D52</f>
        <v>14.975807354806046</v>
      </c>
      <c r="L26" s="333">
        <f>SUM(J26:K26)</f>
        <v>14.975807354806046</v>
      </c>
      <c r="M26" s="1567">
        <f>E52</f>
        <v>9.9969455701648346</v>
      </c>
    </row>
    <row r="27" spans="2:18" ht="16.5" thickBot="1">
      <c r="B27" s="206">
        <v>13</v>
      </c>
      <c r="C27" s="1767" t="s">
        <v>317</v>
      </c>
      <c r="D27" s="334">
        <f>SUM(D24:D26)</f>
        <v>49.640459192291637</v>
      </c>
      <c r="E27" s="334">
        <f>E24+E26</f>
        <v>48.26</v>
      </c>
      <c r="F27" s="334">
        <f>SUM(F24:F26)</f>
        <v>12.473251800000002</v>
      </c>
      <c r="G27" s="334">
        <f>SUM(G24:G26)</f>
        <v>12.473251800000002</v>
      </c>
      <c r="H27" s="1460">
        <f>SUM(H24:H26)</f>
        <v>120.12</v>
      </c>
      <c r="I27" s="1460">
        <v>68.89</v>
      </c>
      <c r="J27" s="1460">
        <f>J24+J25</f>
        <v>10.188670199999999</v>
      </c>
      <c r="K27" s="1460">
        <f t="shared" si="4"/>
        <v>59.195807354806057</v>
      </c>
      <c r="L27" s="1460">
        <f>SUM(L26,L24)</f>
        <v>69.384477554806054</v>
      </c>
      <c r="M27" s="1462">
        <f>SUM(M26,M24)</f>
        <v>70.033482790164854</v>
      </c>
    </row>
    <row r="28" spans="2:18" ht="15" customHeight="1">
      <c r="K28" s="2139">
        <v>59.195807354806057</v>
      </c>
      <c r="L28" s="2139">
        <v>69.384477554806054</v>
      </c>
      <c r="M28" s="2139">
        <v>70.033482790164854</v>
      </c>
    </row>
    <row r="29" spans="2:18" ht="15" customHeight="1">
      <c r="C29" s="2" t="s">
        <v>1441</v>
      </c>
      <c r="J29" s="61"/>
    </row>
    <row r="32" spans="2:18" ht="15" customHeight="1">
      <c r="G32" s="61"/>
    </row>
    <row r="36" spans="2:10" ht="15" customHeight="1">
      <c r="B36" s="2474" t="s">
        <v>1003</v>
      </c>
      <c r="C36" s="2473" t="s">
        <v>331</v>
      </c>
      <c r="D36" s="2472" t="s">
        <v>425</v>
      </c>
      <c r="E36" s="2472"/>
      <c r="F36" s="2472" t="s">
        <v>1752</v>
      </c>
      <c r="G36" s="2472"/>
      <c r="H36" s="2472"/>
      <c r="I36" s="2472"/>
      <c r="J36" s="2479" t="s">
        <v>2590</v>
      </c>
    </row>
    <row r="37" spans="2:10" ht="15" customHeight="1">
      <c r="B37" s="2474"/>
      <c r="C37" s="2473"/>
      <c r="D37" s="1849" t="s">
        <v>1036</v>
      </c>
      <c r="E37" s="1849" t="s">
        <v>1037</v>
      </c>
      <c r="F37" s="1849" t="s">
        <v>1036</v>
      </c>
      <c r="G37" s="1849" t="s">
        <v>1229</v>
      </c>
      <c r="H37" s="1849" t="s">
        <v>1230</v>
      </c>
      <c r="I37" s="1849" t="s">
        <v>1952</v>
      </c>
      <c r="J37" s="2480"/>
    </row>
    <row r="38" spans="2:10" ht="15" customHeight="1">
      <c r="B38" s="65">
        <v>1</v>
      </c>
      <c r="C38" s="293" t="s">
        <v>1950</v>
      </c>
      <c r="D38" s="115">
        <f>E27</f>
        <v>48.26</v>
      </c>
      <c r="E38" s="115">
        <f>G20+G25</f>
        <v>12.473251800000002</v>
      </c>
      <c r="F38" s="115">
        <f>I27</f>
        <v>68.89</v>
      </c>
      <c r="G38" s="115">
        <f>J20</f>
        <v>10.358670199999999</v>
      </c>
      <c r="H38" s="115">
        <f>K20</f>
        <v>44.220000000000013</v>
      </c>
      <c r="I38" s="115">
        <f>L20</f>
        <v>54.578670200000005</v>
      </c>
      <c r="J38" s="115">
        <f>M20+M25</f>
        <v>60.036537220000014</v>
      </c>
    </row>
    <row r="39" spans="2:10" ht="15" customHeight="1">
      <c r="B39" s="65"/>
      <c r="C39" s="293" t="s">
        <v>2546</v>
      </c>
      <c r="D39" s="115"/>
      <c r="E39" s="115"/>
      <c r="F39" s="115"/>
      <c r="G39" s="115">
        <f>J25</f>
        <v>0</v>
      </c>
      <c r="H39" s="115">
        <v>0</v>
      </c>
      <c r="I39" s="115">
        <f>G39</f>
        <v>0</v>
      </c>
      <c r="J39" s="115"/>
    </row>
    <row r="40" spans="2:10" ht="32.25" customHeight="1">
      <c r="B40" s="65">
        <v>2</v>
      </c>
      <c r="C40" s="20" t="s">
        <v>2418</v>
      </c>
      <c r="D40" s="65"/>
      <c r="E40" s="115"/>
      <c r="F40" s="65"/>
      <c r="G40" s="115"/>
      <c r="H40" s="344">
        <f>K26</f>
        <v>14.975807354806046</v>
      </c>
      <c r="I40" s="344">
        <f>SUM(G40:H40)</f>
        <v>14.975807354806046</v>
      </c>
      <c r="J40" s="344">
        <f>E52</f>
        <v>9.9969455701648346</v>
      </c>
    </row>
    <row r="41" spans="2:10" ht="15" customHeight="1">
      <c r="B41" s="65">
        <v>3</v>
      </c>
      <c r="C41" s="293" t="s">
        <v>1750</v>
      </c>
      <c r="D41" s="65"/>
      <c r="E41" s="115">
        <f>G22</f>
        <v>0</v>
      </c>
      <c r="F41" s="65"/>
      <c r="G41" s="115">
        <f>J22</f>
        <v>0.17</v>
      </c>
      <c r="H41" s="115">
        <f>K22</f>
        <v>0</v>
      </c>
      <c r="I41" s="115">
        <f>L22</f>
        <v>0.17</v>
      </c>
      <c r="J41" s="115">
        <f>M22</f>
        <v>0</v>
      </c>
    </row>
    <row r="42" spans="2:10" ht="15" customHeight="1">
      <c r="B42" s="1861">
        <v>4</v>
      </c>
      <c r="C42" s="967" t="s">
        <v>1951</v>
      </c>
      <c r="D42" s="969">
        <f>D38</f>
        <v>48.26</v>
      </c>
      <c r="E42" s="969">
        <f>E38-E41</f>
        <v>12.473251800000002</v>
      </c>
      <c r="F42" s="969">
        <f>F38-F41</f>
        <v>68.89</v>
      </c>
      <c r="G42" s="969">
        <f>G38-G41+G39+G40</f>
        <v>10.188670199999999</v>
      </c>
      <c r="H42" s="969">
        <f>H38-H41+H39+H40</f>
        <v>59.195807354806057</v>
      </c>
      <c r="I42" s="969">
        <f>I38-I41+I39+I40</f>
        <v>69.384477554806054</v>
      </c>
      <c r="J42" s="969">
        <f>J38-J41+J39+J40</f>
        <v>70.033482790164854</v>
      </c>
    </row>
    <row r="47" spans="2:10" ht="15" customHeight="1">
      <c r="C47" s="1411" t="s">
        <v>423</v>
      </c>
      <c r="D47" s="1849" t="s">
        <v>429</v>
      </c>
      <c r="E47" s="1849" t="s">
        <v>2602</v>
      </c>
      <c r="F47" s="41"/>
      <c r="G47" s="41"/>
    </row>
    <row r="48" spans="2:10" ht="15" customHeight="1">
      <c r="C48" s="485" t="s">
        <v>158</v>
      </c>
      <c r="D48" s="1625">
        <f>'F9'!L52</f>
        <v>2801.05</v>
      </c>
      <c r="E48" s="1625">
        <f>'F9'!M52</f>
        <v>4343.0095824335913</v>
      </c>
      <c r="F48" s="22"/>
      <c r="G48" s="22"/>
    </row>
    <row r="49" spans="3:7" ht="15" customHeight="1">
      <c r="C49" s="485" t="s">
        <v>1973</v>
      </c>
      <c r="D49" s="1625">
        <f>L24+L25</f>
        <v>54.408670200000003</v>
      </c>
      <c r="E49" s="1625">
        <f>M24+M25</f>
        <v>60.036537220000014</v>
      </c>
      <c r="F49" s="22"/>
      <c r="G49" s="22"/>
    </row>
    <row r="50" spans="3:7" ht="15" customHeight="1">
      <c r="C50" s="485" t="s">
        <v>1974</v>
      </c>
      <c r="D50" s="1625">
        <f>'F9'!L53</f>
        <v>1541.9595824335906</v>
      </c>
      <c r="E50" s="1625">
        <f>'F9'!M53</f>
        <v>1446.3469219483711</v>
      </c>
      <c r="F50" s="22"/>
      <c r="G50" s="22"/>
    </row>
    <row r="51" spans="3:7" ht="31.5" customHeight="1">
      <c r="C51" s="1412" t="s">
        <v>1975</v>
      </c>
      <c r="D51" s="1188">
        <f>D49/D48</f>
        <v>1.9424383784652183E-2</v>
      </c>
      <c r="E51" s="1188">
        <f>E49/E48</f>
        <v>1.3823717420019768E-2</v>
      </c>
      <c r="F51" s="22"/>
      <c r="G51" s="22"/>
    </row>
    <row r="52" spans="3:7" ht="33" customHeight="1">
      <c r="C52" s="1412" t="s">
        <v>157</v>
      </c>
      <c r="D52" s="188">
        <f>D51*D50/2</f>
        <v>14.975807354806046</v>
      </c>
      <c r="E52" s="188">
        <f>E51*E50/2</f>
        <v>9.9969455701648346</v>
      </c>
      <c r="F52" s="22"/>
      <c r="G52" s="22"/>
    </row>
    <row r="55" spans="3:7" ht="15" customHeight="1">
      <c r="D55" s="61"/>
      <c r="F55" s="61"/>
    </row>
    <row r="56" spans="3:7" ht="15" customHeight="1">
      <c r="D56" s="61"/>
    </row>
    <row r="57" spans="3:7" ht="15" customHeight="1">
      <c r="D57" s="61"/>
    </row>
    <row r="58" spans="3:7" ht="15" customHeight="1">
      <c r="D58" s="61"/>
    </row>
    <row r="69" spans="11:13" ht="15" customHeight="1">
      <c r="K69" s="2139">
        <v>59.195807354806057</v>
      </c>
      <c r="L69" s="2139">
        <v>69.384477554806054</v>
      </c>
      <c r="M69" s="2139">
        <v>70.033482790164854</v>
      </c>
    </row>
  </sheetData>
  <sheetProtection selectLockedCells="1" selectUnlockedCells="1"/>
  <mergeCells count="15">
    <mergeCell ref="B5:M5"/>
    <mergeCell ref="B1:M1"/>
    <mergeCell ref="B2:M2"/>
    <mergeCell ref="B4:M4"/>
    <mergeCell ref="B21:B23"/>
    <mergeCell ref="D7:G7"/>
    <mergeCell ref="H7:L7"/>
    <mergeCell ref="B7:B8"/>
    <mergeCell ref="C7:C8"/>
    <mergeCell ref="I10:I26"/>
    <mergeCell ref="B36:B37"/>
    <mergeCell ref="C36:C37"/>
    <mergeCell ref="D36:E36"/>
    <mergeCell ref="F36:I36"/>
    <mergeCell ref="J36:J37"/>
  </mergeCells>
  <phoneticPr fontId="0" type="noConversion"/>
  <printOptions horizontalCentered="1"/>
  <pageMargins left="0.7" right="0.7" top="0.75" bottom="0.75" header="0.3" footer="0.3"/>
  <pageSetup paperSize="9" scale="57" firstPageNumber="4" orientation="landscape" useFirstPageNumber="1" r:id="rId1"/>
  <headerFooter>
    <oddFooter>&amp;R&amp;P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93"/>
  <sheetViews>
    <sheetView view="pageBreakPreview" topLeftCell="A7" zoomScale="69" zoomScaleSheetLayoutView="69" workbookViewId="0">
      <selection activeCell="J76" sqref="J76"/>
    </sheetView>
  </sheetViews>
  <sheetFormatPr defaultRowHeight="15" customHeight="1"/>
  <cols>
    <col min="1" max="1" width="3.7109375" style="2" customWidth="1"/>
    <col min="2" max="2" width="7" style="3" customWidth="1"/>
    <col min="3" max="3" width="47.85546875" style="2" customWidth="1"/>
    <col min="4" max="5" width="12" style="2" hidden="1" customWidth="1"/>
    <col min="6" max="6" width="14.42578125" style="2" hidden="1" customWidth="1"/>
    <col min="7" max="7" width="13.42578125" style="2" hidden="1" customWidth="1"/>
    <col min="8" max="8" width="24.5703125" style="2" customWidth="1"/>
    <col min="9" max="9" width="15.5703125" style="2" customWidth="1"/>
    <col min="10" max="10" width="19.5703125" style="2" customWidth="1"/>
    <col min="11" max="11" width="19.5703125" style="2" bestFit="1" customWidth="1"/>
    <col min="12" max="12" width="12.140625" style="2" customWidth="1"/>
    <col min="13" max="13" width="20.42578125" style="2" bestFit="1" customWidth="1"/>
    <col min="14" max="14" width="9.140625" style="2"/>
    <col min="15" max="17" width="9.140625" style="2" customWidth="1"/>
    <col min="18" max="19" width="9.140625" style="2" hidden="1" customWidth="1"/>
    <col min="20" max="24" width="9.140625" style="2" customWidth="1"/>
    <col min="25" max="16384" width="9.140625" style="2"/>
  </cols>
  <sheetData>
    <row r="1" spans="1:19" s="8" customFormat="1" ht="15.75" customHeight="1">
      <c r="B1" s="2418" t="s">
        <v>2549</v>
      </c>
      <c r="C1" s="2418"/>
      <c r="D1" s="2418"/>
      <c r="E1" s="2418"/>
      <c r="F1" s="2418"/>
      <c r="G1" s="2418"/>
      <c r="H1" s="2418"/>
      <c r="I1" s="2418"/>
      <c r="J1" s="2418"/>
      <c r="K1" s="2418"/>
      <c r="L1" s="2418"/>
      <c r="M1" s="2418"/>
      <c r="O1" s="2" t="s">
        <v>1439</v>
      </c>
      <c r="S1" s="640">
        <v>0.2</v>
      </c>
    </row>
    <row r="2" spans="1:19" s="8" customFormat="1" ht="15.75" customHeight="1">
      <c r="B2" s="2419" t="s">
        <v>2689</v>
      </c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O2" s="2" t="s">
        <v>1440</v>
      </c>
      <c r="S2" s="640">
        <v>0.15</v>
      </c>
    </row>
    <row r="3" spans="1:19" s="8" customFormat="1" ht="15.75" customHeight="1">
      <c r="B3" s="1843"/>
      <c r="C3" s="1843"/>
      <c r="D3" s="1843"/>
      <c r="E3" s="1843"/>
      <c r="F3" s="1843"/>
      <c r="G3" s="1843"/>
      <c r="H3" s="1843"/>
      <c r="I3" s="1843"/>
      <c r="J3" s="1843"/>
      <c r="K3" s="1843"/>
      <c r="L3" s="1843"/>
      <c r="M3" s="1843"/>
      <c r="O3" s="2"/>
      <c r="S3" s="640"/>
    </row>
    <row r="4" spans="1:19" s="8" customFormat="1" ht="15.75" customHeight="1">
      <c r="B4" s="2419" t="s">
        <v>2575</v>
      </c>
      <c r="C4" s="2419"/>
      <c r="D4" s="2419"/>
      <c r="E4" s="2419"/>
      <c r="F4" s="2419"/>
      <c r="G4" s="2419"/>
      <c r="H4" s="2419"/>
      <c r="I4" s="2419"/>
      <c r="J4" s="2419"/>
      <c r="K4" s="2419"/>
      <c r="L4" s="2419"/>
      <c r="M4" s="2419"/>
      <c r="O4" s="2"/>
      <c r="S4" s="640"/>
    </row>
    <row r="5" spans="1:19" s="8" customFormat="1" ht="15.75">
      <c r="B5" s="2435" t="s">
        <v>328</v>
      </c>
      <c r="C5" s="2435"/>
      <c r="D5" s="2435"/>
      <c r="E5" s="2435"/>
      <c r="F5" s="2435"/>
      <c r="G5" s="2435"/>
      <c r="H5" s="2435"/>
      <c r="I5" s="2435"/>
      <c r="J5" s="2435"/>
      <c r="K5" s="2435"/>
      <c r="L5" s="2435"/>
      <c r="M5" s="2435"/>
    </row>
    <row r="6" spans="1:19" ht="16.5" thickBot="1">
      <c r="M6" s="1855" t="s">
        <v>97</v>
      </c>
    </row>
    <row r="7" spans="1:19" s="1845" customFormat="1" ht="33" customHeight="1">
      <c r="B7" s="2477" t="s">
        <v>1003</v>
      </c>
      <c r="C7" s="2452" t="s">
        <v>282</v>
      </c>
      <c r="D7" s="2452" t="s">
        <v>1034</v>
      </c>
      <c r="E7" s="2452"/>
      <c r="F7" s="2452"/>
      <c r="G7" s="2452"/>
      <c r="H7" s="2452" t="s">
        <v>2591</v>
      </c>
      <c r="I7" s="2452"/>
      <c r="J7" s="2452"/>
      <c r="K7" s="2452"/>
      <c r="L7" s="2452"/>
      <c r="M7" s="2142" t="s">
        <v>2592</v>
      </c>
    </row>
    <row r="8" spans="1:19" s="1845" customFormat="1" ht="54" customHeight="1">
      <c r="B8" s="2478"/>
      <c r="C8" s="2443"/>
      <c r="D8" s="2140" t="s">
        <v>1035</v>
      </c>
      <c r="E8" s="2140" t="s">
        <v>1036</v>
      </c>
      <c r="F8" s="2140" t="s">
        <v>1038</v>
      </c>
      <c r="G8" s="2140" t="s">
        <v>1037</v>
      </c>
      <c r="H8" s="2140" t="s">
        <v>1035</v>
      </c>
      <c r="I8" s="2140" t="s">
        <v>1036</v>
      </c>
      <c r="J8" s="2140" t="s">
        <v>1047</v>
      </c>
      <c r="K8" s="2140" t="s">
        <v>2566</v>
      </c>
      <c r="L8" s="2140" t="s">
        <v>287</v>
      </c>
      <c r="M8" s="2141" t="s">
        <v>1040</v>
      </c>
    </row>
    <row r="9" spans="1:19" s="1845" customFormat="1" ht="15.75">
      <c r="B9" s="2143"/>
      <c r="C9" s="2140" t="s">
        <v>2553</v>
      </c>
      <c r="D9" s="2140">
        <v>1</v>
      </c>
      <c r="E9" s="2140">
        <v>2</v>
      </c>
      <c r="F9" s="2140">
        <v>3</v>
      </c>
      <c r="G9" s="2140">
        <v>4</v>
      </c>
      <c r="H9" s="2140">
        <v>1</v>
      </c>
      <c r="I9" s="2140">
        <v>2</v>
      </c>
      <c r="J9" s="2140">
        <v>3</v>
      </c>
      <c r="K9" s="2140">
        <v>4</v>
      </c>
      <c r="L9" s="2140" t="s">
        <v>2578</v>
      </c>
      <c r="M9" s="2141">
        <v>6</v>
      </c>
    </row>
    <row r="10" spans="1:19" ht="19.5" customHeight="1">
      <c r="A10" s="6"/>
      <c r="B10" s="1850">
        <v>1</v>
      </c>
      <c r="C10" s="1768" t="s">
        <v>318</v>
      </c>
      <c r="D10" s="1769">
        <v>1.0690909090909091</v>
      </c>
      <c r="E10" s="1573"/>
      <c r="F10" s="1574">
        <f>'Schedules of Accounts'!E49/10^7</f>
        <v>0.6288743</v>
      </c>
      <c r="G10" s="1574">
        <f>F10</f>
        <v>0.6288743</v>
      </c>
      <c r="H10" s="1463">
        <v>1.23</v>
      </c>
      <c r="I10" s="2482"/>
      <c r="J10" s="1463">
        <v>0.71110810000000002</v>
      </c>
      <c r="K10" s="1463">
        <f>J10*(1+$S$1)</f>
        <v>0.85332971999999996</v>
      </c>
      <c r="L10" s="1463">
        <f>J10+K10</f>
        <v>1.56443782</v>
      </c>
      <c r="M10" s="1567">
        <f t="shared" ref="M10:M20" si="0">L10*(1+$S$2)</f>
        <v>1.7991034929999998</v>
      </c>
    </row>
    <row r="11" spans="1:19" ht="15.75">
      <c r="A11" s="6"/>
      <c r="B11" s="1850">
        <v>2</v>
      </c>
      <c r="C11" s="1768" t="s">
        <v>319</v>
      </c>
      <c r="D11" s="1769">
        <v>2.181818181818182E-2</v>
      </c>
      <c r="E11" s="1573"/>
      <c r="F11" s="1574">
        <f>'Schedules of Accounts'!E50/10^7</f>
        <v>8.5991000000000001E-3</v>
      </c>
      <c r="G11" s="1574">
        <f t="shared" ref="G11:G25" si="1">F11</f>
        <v>8.5991000000000001E-3</v>
      </c>
      <c r="H11" s="1463">
        <v>1.1000000000000001</v>
      </c>
      <c r="I11" s="2482"/>
      <c r="J11" s="1463">
        <v>5.3457999999999995E-3</v>
      </c>
      <c r="K11" s="1463">
        <f>J11*(1+$S$1)</f>
        <v>6.4149599999999991E-3</v>
      </c>
      <c r="L11" s="1463">
        <f t="shared" ref="L11:L27" si="2">J11+K11</f>
        <v>1.1760759999999999E-2</v>
      </c>
      <c r="M11" s="1567">
        <f t="shared" si="0"/>
        <v>1.3524873999999997E-2</v>
      </c>
    </row>
    <row r="12" spans="1:19" ht="15.75">
      <c r="A12" s="6"/>
      <c r="B12" s="1850">
        <v>3</v>
      </c>
      <c r="C12" s="1768" t="s">
        <v>320</v>
      </c>
      <c r="D12" s="1769">
        <v>0.5</v>
      </c>
      <c r="E12" s="1573"/>
      <c r="F12" s="1574">
        <f>'Schedules of Accounts'!E51/10^7</f>
        <v>0.46604060000000003</v>
      </c>
      <c r="G12" s="1574">
        <f t="shared" si="1"/>
        <v>0.46604060000000003</v>
      </c>
      <c r="H12" s="1463">
        <v>0.49040000000000006</v>
      </c>
      <c r="I12" s="2482"/>
      <c r="J12" s="1463">
        <v>0.19398700000000002</v>
      </c>
      <c r="K12" s="1463">
        <f>J12*(1+$S$1)</f>
        <v>0.2327844</v>
      </c>
      <c r="L12" s="1463">
        <f t="shared" si="2"/>
        <v>0.42677140000000002</v>
      </c>
      <c r="M12" s="1567">
        <f t="shared" si="0"/>
        <v>0.49078710999999997</v>
      </c>
    </row>
    <row r="13" spans="1:19" ht="15.75">
      <c r="A13" s="6"/>
      <c r="B13" s="1850">
        <v>4</v>
      </c>
      <c r="C13" s="1768" t="s">
        <v>321</v>
      </c>
      <c r="D13" s="1769">
        <v>1.1000000000000001</v>
      </c>
      <c r="E13" s="1573"/>
      <c r="F13" s="1574">
        <f>'Schedules of Accounts'!E55/10^7</f>
        <v>8.33869E-2</v>
      </c>
      <c r="G13" s="1574">
        <f t="shared" si="1"/>
        <v>8.33869E-2</v>
      </c>
      <c r="H13" s="1463">
        <v>1</v>
      </c>
      <c r="I13" s="2482"/>
      <c r="J13" s="1463">
        <v>0.1104945</v>
      </c>
      <c r="K13" s="1463">
        <f>J13*(1+$S$1)</f>
        <v>0.1325934</v>
      </c>
      <c r="L13" s="1463">
        <f t="shared" si="2"/>
        <v>0.2430879</v>
      </c>
      <c r="M13" s="1567">
        <f t="shared" si="0"/>
        <v>0.27955108499999998</v>
      </c>
    </row>
    <row r="14" spans="1:19" s="1623" customFormat="1" ht="15.75">
      <c r="A14" s="6"/>
      <c r="B14" s="1850">
        <v>5</v>
      </c>
      <c r="C14" s="1768" t="s">
        <v>2749</v>
      </c>
      <c r="D14" s="1769"/>
      <c r="E14" s="1573"/>
      <c r="F14" s="1574"/>
      <c r="G14" s="1574"/>
      <c r="H14" s="1463"/>
      <c r="I14" s="2482"/>
      <c r="J14" s="1463">
        <v>0</v>
      </c>
      <c r="K14" s="1463">
        <v>0.23499999999999999</v>
      </c>
      <c r="L14" s="1463">
        <f t="shared" si="2"/>
        <v>0.23499999999999999</v>
      </c>
      <c r="M14" s="1567">
        <v>0.47</v>
      </c>
    </row>
    <row r="15" spans="1:19" ht="15.75">
      <c r="A15" s="6"/>
      <c r="B15" s="1850">
        <v>6</v>
      </c>
      <c r="C15" s="1768" t="s">
        <v>322</v>
      </c>
      <c r="D15" s="1769">
        <v>0</v>
      </c>
      <c r="E15" s="1573"/>
      <c r="F15" s="1574">
        <f>'Schedules of Accounts'!E56/10^7</f>
        <v>1.11375E-2</v>
      </c>
      <c r="G15" s="1574">
        <f t="shared" si="1"/>
        <v>1.11375E-2</v>
      </c>
      <c r="H15" s="1463">
        <v>0.01</v>
      </c>
      <c r="I15" s="2482"/>
      <c r="J15" s="1463">
        <v>8.0800000000000004E-3</v>
      </c>
      <c r="K15" s="1463">
        <f t="shared" ref="K15:K22" si="3">J15*(1+$S$1)</f>
        <v>9.6959999999999998E-3</v>
      </c>
      <c r="L15" s="1463">
        <f t="shared" si="2"/>
        <v>1.7776E-2</v>
      </c>
      <c r="M15" s="1567">
        <f t="shared" si="0"/>
        <v>2.0442399999999999E-2</v>
      </c>
    </row>
    <row r="16" spans="1:19" ht="15.75">
      <c r="A16" s="6"/>
      <c r="B16" s="1850">
        <v>7</v>
      </c>
      <c r="C16" s="1768" t="s">
        <v>323</v>
      </c>
      <c r="D16" s="1769">
        <v>1.2</v>
      </c>
      <c r="E16" s="1573"/>
      <c r="F16" s="1573">
        <f>'Schedules of Accounts'!E57/10^7</f>
        <v>0</v>
      </c>
      <c r="G16" s="1574">
        <f t="shared" si="1"/>
        <v>0</v>
      </c>
      <c r="H16" s="1463">
        <v>0.01</v>
      </c>
      <c r="I16" s="2482"/>
      <c r="J16" s="1463">
        <v>3.6089999999999998E-3</v>
      </c>
      <c r="K16" s="1463">
        <f t="shared" si="3"/>
        <v>4.3307999999999992E-3</v>
      </c>
      <c r="L16" s="1463">
        <f t="shared" si="2"/>
        <v>7.9397999999999986E-3</v>
      </c>
      <c r="M16" s="1567">
        <f t="shared" si="0"/>
        <v>9.1307699999999981E-3</v>
      </c>
    </row>
    <row r="17" spans="1:19" ht="15.75">
      <c r="A17" s="6"/>
      <c r="B17" s="1850">
        <v>8</v>
      </c>
      <c r="C17" s="1768" t="s">
        <v>324</v>
      </c>
      <c r="D17" s="1769">
        <v>5</v>
      </c>
      <c r="E17" s="1573"/>
      <c r="F17" s="1574">
        <f>'Schedules of Accounts'!E60/10^7</f>
        <v>5.5289941000000002</v>
      </c>
      <c r="G17" s="1574">
        <f t="shared" si="1"/>
        <v>5.5289941000000002</v>
      </c>
      <c r="H17" s="1463">
        <v>9.07</v>
      </c>
      <c r="I17" s="2482"/>
      <c r="J17" s="1463">
        <v>3.2115292000000002</v>
      </c>
      <c r="K17" s="1463">
        <f t="shared" si="3"/>
        <v>3.8538350399999999</v>
      </c>
      <c r="L17" s="1463">
        <f t="shared" si="2"/>
        <v>7.0653642400000001</v>
      </c>
      <c r="M17" s="1567">
        <f t="shared" si="0"/>
        <v>8.125168876</v>
      </c>
    </row>
    <row r="18" spans="1:19" ht="15.75">
      <c r="A18" s="6"/>
      <c r="B18" s="1850">
        <v>9</v>
      </c>
      <c r="C18" s="1768" t="s">
        <v>325</v>
      </c>
      <c r="D18" s="1769">
        <v>1</v>
      </c>
      <c r="E18" s="1573"/>
      <c r="F18" s="1574">
        <f>SUM('Schedules of Accounts'!E68:E69)/10^7</f>
        <v>0.36813220000000002</v>
      </c>
      <c r="G18" s="1574">
        <f t="shared" si="1"/>
        <v>0.36813220000000002</v>
      </c>
      <c r="H18" s="1463">
        <v>0.31</v>
      </c>
      <c r="I18" s="2482"/>
      <c r="J18" s="1463">
        <v>0.3533307</v>
      </c>
      <c r="K18" s="1463">
        <f t="shared" si="3"/>
        <v>0.42399683999999999</v>
      </c>
      <c r="L18" s="1463">
        <f t="shared" si="2"/>
        <v>0.77732753999999993</v>
      </c>
      <c r="M18" s="1567">
        <f t="shared" si="0"/>
        <v>0.89392667099999989</v>
      </c>
    </row>
    <row r="19" spans="1:19" ht="15.75">
      <c r="A19" s="6"/>
      <c r="B19" s="1850">
        <v>10</v>
      </c>
      <c r="C19" s="1768" t="s">
        <v>303</v>
      </c>
      <c r="D19" s="1769">
        <v>2.16</v>
      </c>
      <c r="E19" s="1573"/>
      <c r="F19" s="1574">
        <f>'Schedules of Accounts'!E91/10^7-SUM('F5'!F10:F18,'F5'!F21,'F5'!F22)</f>
        <v>2.5624915000000001</v>
      </c>
      <c r="G19" s="1574">
        <f t="shared" si="1"/>
        <v>2.5624915000000001</v>
      </c>
      <c r="H19" s="1463">
        <v>2.97</v>
      </c>
      <c r="I19" s="2482"/>
      <c r="J19" s="1463">
        <v>1.0302017999999988</v>
      </c>
      <c r="K19" s="1463">
        <f t="shared" si="3"/>
        <v>1.2362421599999986</v>
      </c>
      <c r="L19" s="1463">
        <f t="shared" si="2"/>
        <v>2.2664439599999975</v>
      </c>
      <c r="M19" s="1567">
        <f t="shared" si="0"/>
        <v>2.6064105539999969</v>
      </c>
    </row>
    <row r="20" spans="1:19" ht="15.75">
      <c r="A20" s="6"/>
      <c r="B20" s="1850">
        <v>11</v>
      </c>
      <c r="C20" s="1768" t="s">
        <v>2664</v>
      </c>
      <c r="D20" s="1769">
        <v>2.238</v>
      </c>
      <c r="E20" s="1573"/>
      <c r="F20" s="1573"/>
      <c r="G20" s="1574">
        <f t="shared" si="1"/>
        <v>0</v>
      </c>
      <c r="H20" s="1463">
        <v>28.31</v>
      </c>
      <c r="I20" s="2482"/>
      <c r="J20" s="1463">
        <v>1.5579436</v>
      </c>
      <c r="K20" s="1463">
        <f>L20-J20</f>
        <v>5.3071950212000001</v>
      </c>
      <c r="L20" s="1463">
        <f>L92</f>
        <v>6.8651386211999998</v>
      </c>
      <c r="M20" s="1567">
        <f t="shared" si="0"/>
        <v>7.8949094143799989</v>
      </c>
    </row>
    <row r="21" spans="1:19" ht="15.75">
      <c r="A21" s="6"/>
      <c r="B21" s="1850">
        <v>12</v>
      </c>
      <c r="C21" s="1768" t="s">
        <v>326</v>
      </c>
      <c r="D21" s="1769">
        <v>0.1090909090909091</v>
      </c>
      <c r="E21" s="1573"/>
      <c r="F21" s="1576">
        <f>'Schedules of Accounts'!E89/10^7</f>
        <v>0.1452088</v>
      </c>
      <c r="G21" s="1574">
        <f t="shared" si="1"/>
        <v>0.1452088</v>
      </c>
      <c r="H21" s="1463">
        <v>0.13</v>
      </c>
      <c r="I21" s="2482"/>
      <c r="J21" s="1463">
        <v>0</v>
      </c>
      <c r="K21" s="1463">
        <f t="shared" si="3"/>
        <v>0</v>
      </c>
      <c r="L21" s="1463">
        <f t="shared" si="2"/>
        <v>0</v>
      </c>
      <c r="M21" s="1567">
        <f>L21*(1+$S$2)</f>
        <v>0</v>
      </c>
    </row>
    <row r="22" spans="1:19" ht="15.75">
      <c r="A22" s="6"/>
      <c r="B22" s="1850">
        <v>13</v>
      </c>
      <c r="C22" s="1768" t="s">
        <v>327</v>
      </c>
      <c r="D22" s="1769">
        <v>2.7927272727272729</v>
      </c>
      <c r="E22" s="1573"/>
      <c r="F22" s="1574">
        <f>'Schedules of Accounts'!E90/10^7</f>
        <v>4.1939782000000001</v>
      </c>
      <c r="G22" s="1574">
        <f t="shared" si="1"/>
        <v>4.1939782000000001</v>
      </c>
      <c r="H22" s="1463">
        <v>3.04</v>
      </c>
      <c r="I22" s="2482"/>
      <c r="J22" s="1463">
        <v>1.2175255</v>
      </c>
      <c r="K22" s="1463">
        <f t="shared" si="3"/>
        <v>1.4610306</v>
      </c>
      <c r="L22" s="1463">
        <f t="shared" si="2"/>
        <v>2.6785560999999998</v>
      </c>
      <c r="M22" s="1567">
        <f>L22*(1+$S$2)</f>
        <v>3.0803395149999995</v>
      </c>
    </row>
    <row r="23" spans="1:19" ht="15.75">
      <c r="A23" s="6"/>
      <c r="B23" s="1850">
        <v>14</v>
      </c>
      <c r="C23" s="1768" t="s">
        <v>2387</v>
      </c>
      <c r="D23" s="1769"/>
      <c r="E23" s="1573"/>
      <c r="F23" s="1574"/>
      <c r="G23" s="1574"/>
      <c r="H23" s="1463">
        <v>0.25</v>
      </c>
      <c r="I23" s="2482"/>
      <c r="J23" s="1463"/>
      <c r="K23" s="1463">
        <f>0.25</f>
        <v>0.25</v>
      </c>
      <c r="L23" s="1463">
        <f t="shared" si="2"/>
        <v>0.25</v>
      </c>
      <c r="M23" s="1567">
        <v>0.25</v>
      </c>
    </row>
    <row r="24" spans="1:19" ht="15.75">
      <c r="A24" s="6"/>
      <c r="B24" s="1850">
        <v>15</v>
      </c>
      <c r="C24" s="1768" t="s">
        <v>2388</v>
      </c>
      <c r="D24" s="1769"/>
      <c r="E24" s="1573"/>
      <c r="F24" s="1574"/>
      <c r="G24" s="1574"/>
      <c r="H24" s="1463">
        <v>0.25</v>
      </c>
      <c r="I24" s="2482"/>
      <c r="J24" s="1463"/>
      <c r="K24" s="1463">
        <v>0.25</v>
      </c>
      <c r="L24" s="1463">
        <f t="shared" si="2"/>
        <v>0.25</v>
      </c>
      <c r="M24" s="1567">
        <v>0.25</v>
      </c>
    </row>
    <row r="25" spans="1:19" ht="15.75">
      <c r="A25" s="6"/>
      <c r="B25" s="1850">
        <v>16</v>
      </c>
      <c r="C25" s="1768" t="s">
        <v>380</v>
      </c>
      <c r="D25" s="1769">
        <v>0.56000000000000005</v>
      </c>
      <c r="E25" s="1573"/>
      <c r="F25" s="1574">
        <f>'Schedules of Accounts'!E226/10^7</f>
        <v>0.19232540000000001</v>
      </c>
      <c r="G25" s="1574">
        <f t="shared" si="1"/>
        <v>0.19232540000000001</v>
      </c>
      <c r="H25" s="1463">
        <v>0.98</v>
      </c>
      <c r="I25" s="2482"/>
      <c r="J25" s="1463">
        <v>0.63</v>
      </c>
      <c r="K25" s="1463">
        <f>J25*(1+$S$1)</f>
        <v>0.75600000000000001</v>
      </c>
      <c r="L25" s="1463">
        <f t="shared" si="2"/>
        <v>1.3860000000000001</v>
      </c>
      <c r="M25" s="1567">
        <f>L25*(1+$S$2)</f>
        <v>1.5939000000000001</v>
      </c>
    </row>
    <row r="26" spans="1:19" ht="15.75">
      <c r="A26" s="6"/>
      <c r="B26" s="1850">
        <v>17</v>
      </c>
      <c r="C26" s="1768" t="s">
        <v>2472</v>
      </c>
      <c r="D26" s="1769"/>
      <c r="E26" s="1573"/>
      <c r="F26" s="1574"/>
      <c r="G26" s="1574"/>
      <c r="H26" s="1463">
        <v>0.1</v>
      </c>
      <c r="I26" s="2482"/>
      <c r="J26" s="1463"/>
      <c r="K26" s="1463">
        <v>7.0000000000000007E-2</v>
      </c>
      <c r="L26" s="1463">
        <f t="shared" si="2"/>
        <v>7.0000000000000007E-2</v>
      </c>
      <c r="M26" s="1567">
        <v>0.1</v>
      </c>
    </row>
    <row r="27" spans="1:19" ht="22.5" customHeight="1">
      <c r="A27" s="6"/>
      <c r="B27" s="1850">
        <v>18</v>
      </c>
      <c r="C27" s="1768" t="s">
        <v>2547</v>
      </c>
      <c r="D27" s="1769"/>
      <c r="E27" s="1573"/>
      <c r="F27" s="1574"/>
      <c r="G27" s="1574"/>
      <c r="H27" s="1463">
        <v>10</v>
      </c>
      <c r="I27" s="2482"/>
      <c r="J27" s="1463"/>
      <c r="K27" s="1463">
        <f>'[5]Additional employees n Securt'!$N$48</f>
        <v>2.5676999999999999</v>
      </c>
      <c r="L27" s="1463">
        <f t="shared" si="2"/>
        <v>2.5676999999999999</v>
      </c>
      <c r="M27" s="1567">
        <f>'[5]Additional employees n Securt'!$N$46</f>
        <v>6.8472</v>
      </c>
      <c r="R27" s="61">
        <v>0.44759333333333329</v>
      </c>
      <c r="S27" s="61">
        <v>21.43844</v>
      </c>
    </row>
    <row r="28" spans="1:19" ht="22.5" hidden="1" customHeight="1">
      <c r="A28" s="6"/>
      <c r="B28" s="1850"/>
      <c r="C28" s="1768"/>
      <c r="D28" s="1769"/>
      <c r="E28" s="1573"/>
      <c r="F28" s="1574"/>
      <c r="G28" s="1574"/>
      <c r="H28" s="1463"/>
      <c r="I28" s="2482"/>
      <c r="J28" s="1463"/>
      <c r="K28" s="1463"/>
      <c r="L28" s="1463"/>
      <c r="M28" s="1567"/>
    </row>
    <row r="29" spans="1:19" s="1623" customFormat="1" ht="15.75" hidden="1" customHeight="1">
      <c r="A29" s="6"/>
      <c r="B29" s="1850">
        <v>17</v>
      </c>
      <c r="C29" s="1770" t="s">
        <v>287</v>
      </c>
      <c r="D29" s="1851">
        <f t="shared" ref="D29:J29" si="4">SUM(D10:D26)</f>
        <v>17.750727272727271</v>
      </c>
      <c r="E29" s="1851">
        <f t="shared" si="4"/>
        <v>0</v>
      </c>
      <c r="F29" s="1851">
        <f t="shared" si="4"/>
        <v>14.1891686</v>
      </c>
      <c r="G29" s="1851">
        <f t="shared" si="4"/>
        <v>14.1891686</v>
      </c>
      <c r="H29" s="332">
        <f>SUM(H10:H28)</f>
        <v>59.250399999999999</v>
      </c>
      <c r="I29" s="2482"/>
      <c r="J29" s="332">
        <f t="shared" si="4"/>
        <v>9.0331551999999995</v>
      </c>
      <c r="K29" s="332">
        <f>SUM(K10:K28)</f>
        <v>17.650148941199998</v>
      </c>
      <c r="L29" s="332">
        <f>SUM(L10:L28)</f>
        <v>26.683304141199997</v>
      </c>
      <c r="M29" s="1461">
        <f>SUM(M10:M28)</f>
        <v>34.724394762379994</v>
      </c>
    </row>
    <row r="30" spans="1:19" ht="15.75" hidden="1" customHeight="1">
      <c r="A30" s="6"/>
      <c r="B30" s="1850"/>
      <c r="C30" s="1768"/>
      <c r="D30" s="1769"/>
      <c r="E30" s="1573"/>
      <c r="F30" s="1573"/>
      <c r="G30" s="1573"/>
      <c r="H30" s="1463"/>
      <c r="I30" s="2482"/>
      <c r="J30" s="1463"/>
      <c r="K30" s="1463"/>
      <c r="L30" s="1463"/>
      <c r="M30" s="1567"/>
    </row>
    <row r="31" spans="1:19" ht="15.75" hidden="1" customHeight="1">
      <c r="A31" s="6"/>
      <c r="B31" s="1850"/>
      <c r="C31" s="1768"/>
      <c r="D31" s="1769"/>
      <c r="E31" s="1573"/>
      <c r="F31" s="1573"/>
      <c r="G31" s="1573"/>
      <c r="H31" s="1463"/>
      <c r="I31" s="2482"/>
      <c r="J31" s="1463"/>
      <c r="K31" s="1463"/>
      <c r="L31" s="188"/>
      <c r="M31" s="189"/>
    </row>
    <row r="32" spans="1:19" ht="15.75">
      <c r="A32" s="6"/>
      <c r="B32" s="1850">
        <v>19</v>
      </c>
      <c r="C32" s="1770" t="s">
        <v>314</v>
      </c>
      <c r="D32" s="1851">
        <f t="shared" ref="D32:M32" si="5">D29-D30</f>
        <v>17.750727272727271</v>
      </c>
      <c r="E32" s="1851">
        <f t="shared" si="5"/>
        <v>0</v>
      </c>
      <c r="F32" s="1851">
        <f t="shared" si="5"/>
        <v>14.1891686</v>
      </c>
      <c r="G32" s="1851">
        <f t="shared" si="5"/>
        <v>14.1891686</v>
      </c>
      <c r="H32" s="332">
        <f t="shared" si="5"/>
        <v>59.250399999999999</v>
      </c>
      <c r="I32" s="2482"/>
      <c r="J32" s="332">
        <f t="shared" si="5"/>
        <v>9.0331551999999995</v>
      </c>
      <c r="K32" s="332">
        <f t="shared" si="5"/>
        <v>17.650148941199998</v>
      </c>
      <c r="L32" s="332">
        <f t="shared" si="5"/>
        <v>26.683304141199997</v>
      </c>
      <c r="M32" s="1461">
        <f t="shared" si="5"/>
        <v>34.724394762379994</v>
      </c>
    </row>
    <row r="33" spans="1:13" ht="15.75">
      <c r="A33" s="6"/>
      <c r="B33" s="2481">
        <v>20</v>
      </c>
      <c r="C33" s="1768" t="s">
        <v>315</v>
      </c>
      <c r="D33" s="1720"/>
      <c r="E33" s="1573"/>
      <c r="F33" s="1573"/>
      <c r="G33" s="1573"/>
      <c r="H33" s="1463">
        <v>2.96</v>
      </c>
      <c r="I33" s="2482"/>
      <c r="J33" s="1563">
        <v>1.58</v>
      </c>
      <c r="K33" s="1563"/>
      <c r="L33" s="1463">
        <f>J33</f>
        <v>1.58</v>
      </c>
      <c r="M33" s="1567">
        <v>0</v>
      </c>
    </row>
    <row r="34" spans="1:13" ht="15.75" hidden="1" customHeight="1">
      <c r="A34" s="6"/>
      <c r="B34" s="2481"/>
      <c r="C34" s="1772"/>
      <c r="D34" s="1720"/>
      <c r="E34" s="1573"/>
      <c r="F34" s="1573"/>
      <c r="G34" s="1573"/>
      <c r="H34" s="36"/>
      <c r="I34" s="2482"/>
      <c r="J34" s="1463"/>
      <c r="K34" s="1463"/>
      <c r="L34" s="1463"/>
      <c r="M34" s="1567"/>
    </row>
    <row r="35" spans="1:13" ht="15.75">
      <c r="A35" s="6"/>
      <c r="B35" s="1850">
        <v>21</v>
      </c>
      <c r="C35" s="1770" t="s">
        <v>316</v>
      </c>
      <c r="D35" s="1851">
        <f>D32-D33</f>
        <v>17.750727272727271</v>
      </c>
      <c r="E35" s="1851">
        <f>E32-E33</f>
        <v>0</v>
      </c>
      <c r="F35" s="1851">
        <f>F32-F33</f>
        <v>14.1891686</v>
      </c>
      <c r="G35" s="1851">
        <f>G32-G33</f>
        <v>14.1891686</v>
      </c>
      <c r="H35" s="332">
        <f>H32-H33</f>
        <v>56.290399999999998</v>
      </c>
      <c r="I35" s="2482"/>
      <c r="J35" s="332">
        <f>J32-J33</f>
        <v>7.4531551999999994</v>
      </c>
      <c r="K35" s="332">
        <f>K32</f>
        <v>17.650148941199998</v>
      </c>
      <c r="L35" s="332">
        <f>L32-L33</f>
        <v>25.103304141199999</v>
      </c>
      <c r="M35" s="1461">
        <f>M32-M33</f>
        <v>34.724394762379994</v>
      </c>
    </row>
    <row r="36" spans="1:13" ht="15.75" customHeight="1">
      <c r="A36" s="6"/>
      <c r="B36" s="1850">
        <v>22</v>
      </c>
      <c r="C36" s="1768" t="s">
        <v>381</v>
      </c>
      <c r="D36" s="1720"/>
      <c r="E36" s="1573"/>
      <c r="F36" s="1581">
        <f>'Schedules of Accounts'!E155/10^7</f>
        <v>1.9799000000000001E-2</v>
      </c>
      <c r="G36" s="1581">
        <f>F36</f>
        <v>1.9799000000000001E-2</v>
      </c>
      <c r="H36" s="36"/>
      <c r="I36" s="2482"/>
      <c r="J36" s="1463">
        <v>0.05</v>
      </c>
      <c r="K36" s="1463"/>
      <c r="L36" s="1463">
        <f>SUM(J36:K36)</f>
        <v>0.05</v>
      </c>
      <c r="M36" s="1567"/>
    </row>
    <row r="37" spans="1:13" ht="25.5" customHeight="1">
      <c r="A37" s="6"/>
      <c r="B37" s="1850">
        <v>23</v>
      </c>
      <c r="C37" s="1768" t="s">
        <v>159</v>
      </c>
      <c r="D37" s="1769">
        <v>3.64078902599999</v>
      </c>
      <c r="E37" s="1573">
        <v>0.65</v>
      </c>
      <c r="F37" s="1573"/>
      <c r="G37" s="1573"/>
      <c r="H37" s="1463">
        <v>18.59</v>
      </c>
      <c r="I37" s="2482"/>
      <c r="J37" s="1463"/>
      <c r="K37" s="1463">
        <f>D61</f>
        <v>6.909601822757212</v>
      </c>
      <c r="L37" s="1463">
        <f>SUM(J37:K37)</f>
        <v>6.909601822757212</v>
      </c>
      <c r="M37" s="1567">
        <f>E61</f>
        <v>5.7821103692967055</v>
      </c>
    </row>
    <row r="38" spans="1:13" ht="23.25" customHeight="1" thickBot="1">
      <c r="A38" s="6"/>
      <c r="B38" s="178">
        <v>24</v>
      </c>
      <c r="C38" s="1773" t="s">
        <v>317</v>
      </c>
      <c r="D38" s="1639">
        <f>D35+D37</f>
        <v>21.391516298727261</v>
      </c>
      <c r="E38" s="1639">
        <f>E35+E37</f>
        <v>0.65</v>
      </c>
      <c r="F38" s="1639">
        <f>SUM(F35:F37)</f>
        <v>14.208967600000001</v>
      </c>
      <c r="G38" s="1639">
        <f>SUM(G35:G37)</f>
        <v>14.208967600000001</v>
      </c>
      <c r="H38" s="1460">
        <f>H35+H37</f>
        <v>74.880399999999995</v>
      </c>
      <c r="I38" s="1460">
        <v>13.79</v>
      </c>
      <c r="J38" s="1460">
        <f>SUM(J35:J37)</f>
        <v>7.5031551999999992</v>
      </c>
      <c r="K38" s="1460">
        <f>SUM(K35:K37)</f>
        <v>24.559750763957211</v>
      </c>
      <c r="L38" s="1460">
        <f>L35+L36+L37</f>
        <v>32.062905963957213</v>
      </c>
      <c r="M38" s="1462">
        <f>M35+M36+M37</f>
        <v>40.506505131676697</v>
      </c>
    </row>
    <row r="39" spans="1:13" ht="15" customHeight="1">
      <c r="A39" s="6"/>
      <c r="B39" s="1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 customHeight="1">
      <c r="A40" s="6"/>
      <c r="B40" s="1626"/>
      <c r="C40" s="6"/>
      <c r="D40" s="6"/>
      <c r="E40" s="6"/>
      <c r="F40" s="6"/>
      <c r="G40" s="6"/>
      <c r="H40" s="6"/>
      <c r="I40" s="6"/>
      <c r="J40" s="6"/>
      <c r="K40" s="6"/>
      <c r="L40" s="1122"/>
      <c r="M40" s="6"/>
    </row>
    <row r="44" spans="1:13" ht="15" hidden="1" customHeight="1"/>
    <row r="45" spans="1:13" ht="15" hidden="1" customHeight="1"/>
    <row r="46" spans="1:13" ht="15" hidden="1" customHeight="1"/>
    <row r="47" spans="1:13" ht="15" hidden="1" customHeight="1">
      <c r="B47" s="2474" t="s">
        <v>1003</v>
      </c>
      <c r="C47" s="2474" t="s">
        <v>331</v>
      </c>
      <c r="D47" s="2472" t="s">
        <v>425</v>
      </c>
      <c r="E47" s="2472"/>
      <c r="F47" s="2472" t="s">
        <v>1752</v>
      </c>
      <c r="G47" s="2472"/>
      <c r="H47" s="2472"/>
      <c r="I47" s="2472"/>
      <c r="J47" s="480" t="s">
        <v>2590</v>
      </c>
    </row>
    <row r="48" spans="1:13" ht="15" hidden="1" customHeight="1">
      <c r="B48" s="2474"/>
      <c r="C48" s="2474"/>
      <c r="D48" s="1849" t="s">
        <v>1036</v>
      </c>
      <c r="E48" s="1849" t="s">
        <v>1037</v>
      </c>
      <c r="F48" s="1849" t="s">
        <v>1036</v>
      </c>
      <c r="G48" s="1849" t="s">
        <v>1229</v>
      </c>
      <c r="H48" s="1849" t="s">
        <v>1230</v>
      </c>
      <c r="I48" s="1849" t="s">
        <v>1952</v>
      </c>
      <c r="J48" s="1849" t="s">
        <v>1040</v>
      </c>
    </row>
    <row r="49" spans="2:10" ht="15" hidden="1" customHeight="1">
      <c r="B49" s="65">
        <v>1</v>
      </c>
      <c r="C49" s="293" t="s">
        <v>1072</v>
      </c>
      <c r="D49" s="115">
        <f>E38</f>
        <v>0.65</v>
      </c>
      <c r="E49" s="115">
        <f>F32+F36</f>
        <v>14.208967600000001</v>
      </c>
      <c r="F49" s="115">
        <f>I10</f>
        <v>0</v>
      </c>
      <c r="G49" s="115">
        <f>J32</f>
        <v>9.0331551999999995</v>
      </c>
      <c r="H49" s="115">
        <f>K32</f>
        <v>17.650148941199998</v>
      </c>
      <c r="I49" s="115">
        <f>G49+H49</f>
        <v>26.683304141199997</v>
      </c>
      <c r="J49" s="115">
        <f>M32</f>
        <v>34.724394762379994</v>
      </c>
    </row>
    <row r="50" spans="2:10" ht="33.75" hidden="1" customHeight="1">
      <c r="B50" s="122">
        <v>2</v>
      </c>
      <c r="C50" s="1191" t="s">
        <v>2419</v>
      </c>
      <c r="D50" s="115"/>
      <c r="E50" s="115"/>
      <c r="F50" s="115"/>
      <c r="G50" s="115"/>
      <c r="H50" s="344">
        <f>K37</f>
        <v>6.909601822757212</v>
      </c>
      <c r="I50" s="344">
        <f>H50</f>
        <v>6.909601822757212</v>
      </c>
      <c r="J50" s="344">
        <f>M37</f>
        <v>5.7821103692967055</v>
      </c>
    </row>
    <row r="51" spans="2:10" ht="15" hidden="1" customHeight="1">
      <c r="B51" s="65">
        <v>3</v>
      </c>
      <c r="C51" s="293" t="s">
        <v>1750</v>
      </c>
      <c r="D51" s="65"/>
      <c r="E51" s="115"/>
      <c r="F51" s="65"/>
      <c r="G51" s="65">
        <f>J33</f>
        <v>1.58</v>
      </c>
      <c r="H51" s="115">
        <f>K33</f>
        <v>0</v>
      </c>
      <c r="I51" s="115">
        <f>G51+H51</f>
        <v>1.58</v>
      </c>
      <c r="J51" s="115">
        <f>M33</f>
        <v>0</v>
      </c>
    </row>
    <row r="52" spans="2:10" ht="15" hidden="1" customHeight="1">
      <c r="B52" s="1861">
        <v>4</v>
      </c>
      <c r="C52" s="967" t="s">
        <v>1953</v>
      </c>
      <c r="D52" s="969">
        <f>D49-D51</f>
        <v>0.65</v>
      </c>
      <c r="E52" s="969">
        <f>E49-E51</f>
        <v>14.208967600000001</v>
      </c>
      <c r="F52" s="969">
        <f>F49-F51</f>
        <v>0</v>
      </c>
      <c r="G52" s="969">
        <f>G49-G51</f>
        <v>7.4531551999999994</v>
      </c>
      <c r="H52" s="969">
        <f>H49+H50-H51</f>
        <v>24.559750763957211</v>
      </c>
      <c r="I52" s="969">
        <f>I49+I50-I51</f>
        <v>32.012905963957209</v>
      </c>
      <c r="J52" s="969">
        <f>J49+J50-J51</f>
        <v>40.506505131676697</v>
      </c>
    </row>
    <row r="53" spans="2:10" ht="15" hidden="1" customHeight="1"/>
    <row r="54" spans="2:10" ht="15" hidden="1" customHeight="1"/>
    <row r="55" spans="2:10" ht="15" hidden="1" customHeight="1" thickBot="1"/>
    <row r="56" spans="2:10" ht="15" hidden="1" customHeight="1">
      <c r="C56" s="1189" t="s">
        <v>423</v>
      </c>
      <c r="D56" s="1190" t="s">
        <v>429</v>
      </c>
      <c r="E56" s="1190" t="s">
        <v>2602</v>
      </c>
      <c r="H56" s="61"/>
    </row>
    <row r="57" spans="2:10" ht="15" hidden="1" customHeight="1">
      <c r="C57" s="484" t="s">
        <v>158</v>
      </c>
      <c r="D57" s="1625">
        <f>'F9'!L52</f>
        <v>2801.05</v>
      </c>
      <c r="E57" s="1625">
        <f>'F9'!M52</f>
        <v>4343.0095824335913</v>
      </c>
    </row>
    <row r="58" spans="2:10" ht="15" hidden="1" customHeight="1">
      <c r="C58" s="484" t="s">
        <v>1072</v>
      </c>
      <c r="D58" s="1625">
        <f>L35</f>
        <v>25.103304141199999</v>
      </c>
      <c r="E58" s="1625">
        <f>M35</f>
        <v>34.724394762379994</v>
      </c>
    </row>
    <row r="59" spans="2:10" ht="15" hidden="1" customHeight="1">
      <c r="C59" s="484" t="s">
        <v>1974</v>
      </c>
      <c r="D59" s="1625">
        <f>'F9'!L53</f>
        <v>1541.9595824335906</v>
      </c>
      <c r="E59" s="1625">
        <f>'F9'!M53</f>
        <v>1446.3469219483711</v>
      </c>
    </row>
    <row r="60" spans="2:10" ht="15" hidden="1" customHeight="1">
      <c r="C60" s="1187" t="s">
        <v>2237</v>
      </c>
      <c r="D60" s="1188">
        <f>D58/D57</f>
        <v>8.9621049753485296E-3</v>
      </c>
      <c r="E60" s="1188">
        <f>E58/E57</f>
        <v>7.9954681432966804E-3</v>
      </c>
    </row>
    <row r="61" spans="2:10" ht="15" hidden="1" customHeight="1" thickBot="1">
      <c r="C61" s="1187" t="s">
        <v>159</v>
      </c>
      <c r="D61" s="478">
        <f>D60*D59/2</f>
        <v>6.909601822757212</v>
      </c>
      <c r="E61" s="478">
        <f>E60*E59/2</f>
        <v>5.7821103692967055</v>
      </c>
    </row>
    <row r="62" spans="2:10" ht="15" hidden="1" customHeight="1"/>
    <row r="63" spans="2:10" ht="15" hidden="1" customHeight="1"/>
    <row r="64" spans="2:10" ht="15" hidden="1" customHeight="1">
      <c r="C64" s="2" t="s">
        <v>2363</v>
      </c>
    </row>
    <row r="65" spans="3:12" ht="15" hidden="1" customHeight="1"/>
    <row r="66" spans="3:12" ht="15" hidden="1" customHeight="1">
      <c r="C66" s="1181" t="s">
        <v>2364</v>
      </c>
      <c r="D66" s="1182" t="s">
        <v>2372</v>
      </c>
      <c r="E66" s="1182" t="s">
        <v>2373</v>
      </c>
      <c r="F66" s="1182" t="s">
        <v>2374</v>
      </c>
      <c r="G66" s="1182" t="s">
        <v>2375</v>
      </c>
      <c r="H66" s="1182" t="s">
        <v>2376</v>
      </c>
      <c r="I66" s="1182" t="s">
        <v>287</v>
      </c>
    </row>
    <row r="67" spans="3:12" ht="15" hidden="1" customHeight="1">
      <c r="C67" s="293" t="s">
        <v>2365</v>
      </c>
      <c r="D67" s="293">
        <v>12</v>
      </c>
      <c r="E67" s="293">
        <v>1</v>
      </c>
      <c r="F67" s="293">
        <v>16</v>
      </c>
      <c r="G67" s="293">
        <v>27</v>
      </c>
      <c r="H67" s="293">
        <v>106</v>
      </c>
      <c r="I67" s="293">
        <f>SUM(D67:H67)</f>
        <v>162</v>
      </c>
    </row>
    <row r="68" spans="3:12" ht="15" hidden="1" customHeight="1">
      <c r="C68" s="293" t="s">
        <v>2366</v>
      </c>
      <c r="D68" s="293">
        <v>10</v>
      </c>
      <c r="E68" s="293">
        <v>4</v>
      </c>
      <c r="F68" s="293"/>
      <c r="G68" s="293">
        <v>40</v>
      </c>
      <c r="H68" s="293">
        <v>60</v>
      </c>
      <c r="I68" s="293">
        <f t="shared" ref="I68:I74" si="6">SUM(D68:H68)</f>
        <v>114</v>
      </c>
    </row>
    <row r="69" spans="3:12" ht="15" hidden="1" customHeight="1">
      <c r="C69" s="293" t="s">
        <v>2367</v>
      </c>
      <c r="D69" s="293">
        <v>10</v>
      </c>
      <c r="E69" s="293">
        <v>5</v>
      </c>
      <c r="F69" s="293">
        <v>15</v>
      </c>
      <c r="G69" s="293">
        <v>60</v>
      </c>
      <c r="H69" s="293">
        <v>350</v>
      </c>
      <c r="I69" s="293">
        <f t="shared" si="6"/>
        <v>440</v>
      </c>
    </row>
    <row r="70" spans="3:12" ht="15" hidden="1" customHeight="1">
      <c r="C70" s="293" t="s">
        <v>2368</v>
      </c>
      <c r="D70" s="293">
        <v>6</v>
      </c>
      <c r="E70" s="293">
        <v>5</v>
      </c>
      <c r="F70" s="293"/>
      <c r="G70" s="293">
        <v>5</v>
      </c>
      <c r="H70" s="293">
        <v>15</v>
      </c>
      <c r="I70" s="293">
        <f t="shared" si="6"/>
        <v>31</v>
      </c>
    </row>
    <row r="71" spans="3:12" ht="15" hidden="1" customHeight="1">
      <c r="C71" s="293" t="s">
        <v>2369</v>
      </c>
      <c r="D71" s="293">
        <v>9</v>
      </c>
      <c r="E71" s="293"/>
      <c r="F71" s="293"/>
      <c r="G71" s="293"/>
      <c r="H71" s="293"/>
      <c r="I71" s="293">
        <f t="shared" si="6"/>
        <v>9</v>
      </c>
    </row>
    <row r="72" spans="3:12" ht="15" hidden="1" customHeight="1">
      <c r="C72" s="293" t="s">
        <v>2370</v>
      </c>
      <c r="D72" s="293">
        <v>1</v>
      </c>
      <c r="E72" s="293"/>
      <c r="F72" s="293"/>
      <c r="G72" s="293"/>
      <c r="H72" s="293"/>
      <c r="I72" s="293">
        <f t="shared" si="6"/>
        <v>1</v>
      </c>
    </row>
    <row r="73" spans="3:12" ht="15" hidden="1" customHeight="1">
      <c r="C73" s="293" t="s">
        <v>2371</v>
      </c>
      <c r="D73" s="293">
        <v>6</v>
      </c>
      <c r="E73" s="293"/>
      <c r="F73" s="293"/>
      <c r="G73" s="293"/>
      <c r="H73" s="293"/>
      <c r="I73" s="293">
        <f t="shared" si="6"/>
        <v>6</v>
      </c>
    </row>
    <row r="74" spans="3:12" ht="15" hidden="1" customHeight="1">
      <c r="C74" s="967" t="s">
        <v>354</v>
      </c>
      <c r="D74" s="967">
        <f>SUM(D67:D73)</f>
        <v>54</v>
      </c>
      <c r="E74" s="967">
        <f>SUM(E67:E73)</f>
        <v>15</v>
      </c>
      <c r="F74" s="967">
        <f>SUM(F67:F73)</f>
        <v>31</v>
      </c>
      <c r="G74" s="967">
        <f>SUM(G67:G73)</f>
        <v>132</v>
      </c>
      <c r="H74" s="967">
        <f>SUM(H67:H73)</f>
        <v>531</v>
      </c>
      <c r="I74" s="967">
        <f t="shared" si="6"/>
        <v>763</v>
      </c>
    </row>
    <row r="75" spans="3:12" ht="15" hidden="1" customHeight="1">
      <c r="C75" s="2" t="s">
        <v>1751</v>
      </c>
      <c r="L75" s="2" t="s">
        <v>2483</v>
      </c>
    </row>
    <row r="76" spans="3:12" ht="15" hidden="1" customHeight="1">
      <c r="C76" s="1181" t="s">
        <v>2377</v>
      </c>
      <c r="D76" s="1181" t="s">
        <v>1967</v>
      </c>
      <c r="E76" s="1181" t="s">
        <v>2381</v>
      </c>
      <c r="F76" s="1181" t="s">
        <v>2382</v>
      </c>
      <c r="G76" s="1181" t="s">
        <v>2383</v>
      </c>
      <c r="H76" s="1181" t="s">
        <v>2384</v>
      </c>
      <c r="I76" s="1181" t="s">
        <v>1033</v>
      </c>
      <c r="J76" s="1181" t="s">
        <v>2385</v>
      </c>
      <c r="K76" s="1181" t="s">
        <v>287</v>
      </c>
      <c r="L76" s="1181" t="s">
        <v>2386</v>
      </c>
    </row>
    <row r="77" spans="3:12" ht="15" hidden="1" customHeight="1">
      <c r="C77" s="293" t="s">
        <v>2373</v>
      </c>
      <c r="D77" s="293">
        <v>15</v>
      </c>
      <c r="E77" s="293">
        <v>6200</v>
      </c>
      <c r="F77" s="293">
        <v>15</v>
      </c>
      <c r="G77" s="293">
        <v>844</v>
      </c>
      <c r="H77" s="293">
        <v>295</v>
      </c>
      <c r="I77" s="293">
        <v>7353</v>
      </c>
      <c r="J77" s="293">
        <v>757</v>
      </c>
      <c r="K77" s="293">
        <v>8111</v>
      </c>
      <c r="L77" s="293">
        <v>121659</v>
      </c>
    </row>
    <row r="78" spans="3:12" ht="15" hidden="1" customHeight="1">
      <c r="C78" s="293" t="s">
        <v>2378</v>
      </c>
      <c r="D78" s="293">
        <v>54</v>
      </c>
      <c r="E78" s="293">
        <v>6400</v>
      </c>
      <c r="F78" s="293">
        <v>15</v>
      </c>
      <c r="G78" s="293">
        <v>871</v>
      </c>
      <c r="H78" s="293">
        <v>304</v>
      </c>
      <c r="I78" s="293">
        <f>SUM(E78:H78)</f>
        <v>7590</v>
      </c>
      <c r="J78" s="293">
        <v>782</v>
      </c>
      <c r="K78" s="293">
        <f>SUM(I78:J78)</f>
        <v>8372</v>
      </c>
      <c r="L78" s="293">
        <v>452099</v>
      </c>
    </row>
    <row r="79" spans="3:12" ht="15" hidden="1" customHeight="1">
      <c r="C79" s="293" t="s">
        <v>2374</v>
      </c>
      <c r="D79" s="293">
        <v>31</v>
      </c>
      <c r="E79" s="293">
        <v>6200</v>
      </c>
      <c r="F79" s="293">
        <v>15</v>
      </c>
      <c r="G79" s="293">
        <v>844</v>
      </c>
      <c r="H79" s="293">
        <v>295</v>
      </c>
      <c r="I79" s="293">
        <v>7353</v>
      </c>
      <c r="J79" s="293">
        <v>757</v>
      </c>
      <c r="K79" s="293">
        <v>8111</v>
      </c>
      <c r="L79" s="293">
        <v>251428</v>
      </c>
    </row>
    <row r="80" spans="3:12" ht="15" hidden="1" customHeight="1">
      <c r="C80" s="293" t="s">
        <v>2379</v>
      </c>
      <c r="D80" s="293">
        <v>132</v>
      </c>
      <c r="E80" s="293">
        <v>6200</v>
      </c>
      <c r="F80" s="293">
        <v>15</v>
      </c>
      <c r="G80" s="293">
        <v>844</v>
      </c>
      <c r="H80" s="293">
        <v>295</v>
      </c>
      <c r="I80" s="293">
        <v>7353</v>
      </c>
      <c r="J80" s="293">
        <v>757</v>
      </c>
      <c r="K80" s="293">
        <v>8111</v>
      </c>
      <c r="L80" s="293">
        <v>1070597</v>
      </c>
    </row>
    <row r="81" spans="3:12" ht="15" hidden="1" customHeight="1">
      <c r="C81" s="293" t="s">
        <v>2380</v>
      </c>
      <c r="D81" s="293">
        <v>531</v>
      </c>
      <c r="E81" s="293">
        <v>5000</v>
      </c>
      <c r="F81" s="293">
        <v>12</v>
      </c>
      <c r="G81" s="293">
        <v>681</v>
      </c>
      <c r="H81" s="293">
        <v>238</v>
      </c>
      <c r="I81" s="293">
        <v>5930</v>
      </c>
      <c r="J81" s="293">
        <v>611</v>
      </c>
      <c r="K81" s="293">
        <f>SUM(I81:J81)</f>
        <v>6541</v>
      </c>
      <c r="L81" s="293">
        <v>3473159</v>
      </c>
    </row>
    <row r="82" spans="3:12" ht="15" hidden="1" customHeight="1">
      <c r="C82" s="293" t="s">
        <v>287</v>
      </c>
      <c r="D82" s="293">
        <f>SUM(D77:D81)</f>
        <v>763</v>
      </c>
      <c r="E82" s="293"/>
      <c r="F82" s="293"/>
      <c r="G82" s="293"/>
      <c r="H82" s="293"/>
      <c r="I82" s="293"/>
      <c r="J82" s="293"/>
      <c r="K82" s="293"/>
      <c r="L82" s="293">
        <f>SUM(L77:L81)</f>
        <v>5368942</v>
      </c>
    </row>
    <row r="83" spans="3:12" ht="15" hidden="1" customHeight="1">
      <c r="F83" s="177"/>
      <c r="L83" s="61">
        <f>L82*12/10^7</f>
        <v>6.4427304000000003</v>
      </c>
    </row>
    <row r="84" spans="3:12" ht="15" hidden="1" customHeight="1">
      <c r="C84" s="2" t="s">
        <v>1752</v>
      </c>
      <c r="L84" s="2" t="s">
        <v>2483</v>
      </c>
    </row>
    <row r="85" spans="3:12" ht="15" hidden="1" customHeight="1">
      <c r="C85" s="1181" t="s">
        <v>2377</v>
      </c>
      <c r="D85" s="1181" t="s">
        <v>1967</v>
      </c>
      <c r="E85" s="1181" t="s">
        <v>2381</v>
      </c>
      <c r="F85" s="1181" t="s">
        <v>2382</v>
      </c>
      <c r="G85" s="1181" t="s">
        <v>2383</v>
      </c>
      <c r="H85" s="1181" t="s">
        <v>2384</v>
      </c>
      <c r="I85" s="1181" t="s">
        <v>1033</v>
      </c>
      <c r="J85" s="1181" t="s">
        <v>2385</v>
      </c>
      <c r="K85" s="1181" t="s">
        <v>287</v>
      </c>
      <c r="L85" s="1181" t="s">
        <v>2386</v>
      </c>
    </row>
    <row r="86" spans="3:12" ht="15" hidden="1" customHeight="1">
      <c r="C86" s="293" t="s">
        <v>2373</v>
      </c>
      <c r="D86" s="293">
        <v>15</v>
      </c>
      <c r="E86" s="293">
        <v>6200</v>
      </c>
      <c r="F86" s="293">
        <f>E86*8%</f>
        <v>496</v>
      </c>
      <c r="G86" s="293">
        <v>844</v>
      </c>
      <c r="H86" s="293">
        <v>295</v>
      </c>
      <c r="I86" s="293">
        <f>SUM(E86:H86)</f>
        <v>7835</v>
      </c>
      <c r="J86" s="1184">
        <f>I86*10.3%</f>
        <v>807.00500000000011</v>
      </c>
      <c r="K86" s="1183">
        <f>SUM(I86:J86)</f>
        <v>8642.005000000001</v>
      </c>
      <c r="L86" s="1183">
        <f>K86*D86</f>
        <v>129630.07500000001</v>
      </c>
    </row>
    <row r="87" spans="3:12" ht="15" hidden="1" customHeight="1">
      <c r="C87" s="293" t="s">
        <v>2378</v>
      </c>
      <c r="D87" s="293">
        <v>54</v>
      </c>
      <c r="E87" s="293">
        <v>6400</v>
      </c>
      <c r="F87" s="293">
        <f>E87*8%</f>
        <v>512</v>
      </c>
      <c r="G87" s="293">
        <v>871</v>
      </c>
      <c r="H87" s="293">
        <v>304</v>
      </c>
      <c r="I87" s="293">
        <f>SUM(E87:H87)</f>
        <v>8087</v>
      </c>
      <c r="J87" s="1184">
        <f>I87*10.3%</f>
        <v>832.96100000000001</v>
      </c>
      <c r="K87" s="1183">
        <f>SUM(I87:J87)</f>
        <v>8919.9609999999993</v>
      </c>
      <c r="L87" s="1183">
        <f>K87*D87</f>
        <v>481677.89399999997</v>
      </c>
    </row>
    <row r="88" spans="3:12" ht="15" hidden="1" customHeight="1">
      <c r="C88" s="293" t="s">
        <v>2374</v>
      </c>
      <c r="D88" s="293">
        <v>31</v>
      </c>
      <c r="E88" s="293">
        <v>6200</v>
      </c>
      <c r="F88" s="293">
        <f>E88*8%</f>
        <v>496</v>
      </c>
      <c r="G88" s="293">
        <v>844</v>
      </c>
      <c r="H88" s="293">
        <v>295</v>
      </c>
      <c r="I88" s="293">
        <f>SUM(E88:H88)</f>
        <v>7835</v>
      </c>
      <c r="J88" s="1184">
        <f>I88*10.3%</f>
        <v>807.00500000000011</v>
      </c>
      <c r="K88" s="1183">
        <f>SUM(I88:J88)</f>
        <v>8642.005000000001</v>
      </c>
      <c r="L88" s="1183">
        <f>K88*D88</f>
        <v>267902.15500000003</v>
      </c>
    </row>
    <row r="89" spans="3:12" ht="15" hidden="1" customHeight="1">
      <c r="C89" s="293" t="s">
        <v>2379</v>
      </c>
      <c r="D89" s="293">
        <v>132</v>
      </c>
      <c r="E89" s="293">
        <v>6200</v>
      </c>
      <c r="F89" s="293">
        <f>E89*8%</f>
        <v>496</v>
      </c>
      <c r="G89" s="293">
        <v>844</v>
      </c>
      <c r="H89" s="293">
        <v>295</v>
      </c>
      <c r="I89" s="293">
        <f>SUM(E89:H89)</f>
        <v>7835</v>
      </c>
      <c r="J89" s="1184">
        <f>I89*10.3%</f>
        <v>807.00500000000011</v>
      </c>
      <c r="K89" s="1183">
        <f>SUM(I89:J89)</f>
        <v>8642.005000000001</v>
      </c>
      <c r="L89" s="1183">
        <f>K89*D89</f>
        <v>1140744.6600000001</v>
      </c>
    </row>
    <row r="90" spans="3:12" ht="15" hidden="1" customHeight="1">
      <c r="C90" s="293" t="s">
        <v>2380</v>
      </c>
      <c r="D90" s="293">
        <v>531</v>
      </c>
      <c r="E90" s="293">
        <v>5000</v>
      </c>
      <c r="F90" s="293">
        <f>E90*8%</f>
        <v>400</v>
      </c>
      <c r="G90" s="293">
        <v>681</v>
      </c>
      <c r="H90" s="293">
        <v>238</v>
      </c>
      <c r="I90" s="293">
        <f>SUM(E90:H90)</f>
        <v>6319</v>
      </c>
      <c r="J90" s="1184">
        <f>I90*10.3%</f>
        <v>650.85700000000008</v>
      </c>
      <c r="K90" s="1183">
        <f>SUM(I90:J90)</f>
        <v>6969.857</v>
      </c>
      <c r="L90" s="1183">
        <f>K90*D90</f>
        <v>3700994.0669999998</v>
      </c>
    </row>
    <row r="91" spans="3:12" ht="15" hidden="1" customHeight="1">
      <c r="C91" s="293" t="s">
        <v>287</v>
      </c>
      <c r="D91" s="293">
        <f>SUM(D86:D90)</f>
        <v>763</v>
      </c>
      <c r="E91" s="293"/>
      <c r="F91" s="293"/>
      <c r="G91" s="293"/>
      <c r="H91" s="293"/>
      <c r="I91" s="293"/>
      <c r="J91" s="293"/>
      <c r="K91" s="1183"/>
      <c r="L91" s="1183">
        <f>SUM(L86:L90)</f>
        <v>5720948.8509999998</v>
      </c>
    </row>
    <row r="92" spans="3:12" ht="15" hidden="1" customHeight="1">
      <c r="K92" s="1185"/>
      <c r="L92" s="61">
        <f>L91*12/10^7</f>
        <v>6.8651386211999998</v>
      </c>
    </row>
    <row r="93" spans="3:12" ht="15" hidden="1" customHeight="1">
      <c r="K93" s="1185"/>
      <c r="L93" s="1185"/>
    </row>
  </sheetData>
  <sheetProtection selectLockedCells="1" selectUnlockedCells="1"/>
  <mergeCells count="14">
    <mergeCell ref="B1:M1"/>
    <mergeCell ref="B2:M2"/>
    <mergeCell ref="B5:M5"/>
    <mergeCell ref="B4:M4"/>
    <mergeCell ref="D47:E47"/>
    <mergeCell ref="F47:I47"/>
    <mergeCell ref="C47:C48"/>
    <mergeCell ref="B47:B48"/>
    <mergeCell ref="H7:L7"/>
    <mergeCell ref="B33:B34"/>
    <mergeCell ref="B7:B8"/>
    <mergeCell ref="C7:C8"/>
    <mergeCell ref="D7:G7"/>
    <mergeCell ref="I10:I37"/>
  </mergeCells>
  <phoneticPr fontId="0" type="noConversion"/>
  <printOptions horizontalCentered="1"/>
  <pageMargins left="0.7" right="0.7" top="0.75" bottom="0.75" header="0.3" footer="0.3"/>
  <pageSetup paperSize="9" scale="76" firstPageNumber="5" orientation="landscape" useFirstPageNumber="1" r:id="rId1"/>
  <headerFooter>
    <oddFooter>&amp;R&amp;P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Q36"/>
  <sheetViews>
    <sheetView view="pageBreakPreview" zoomScale="69" zoomScaleSheetLayoutView="69" workbookViewId="0">
      <selection activeCell="J76" sqref="J76"/>
    </sheetView>
  </sheetViews>
  <sheetFormatPr defaultRowHeight="15.75"/>
  <cols>
    <col min="1" max="1" width="5.85546875" style="1" customWidth="1"/>
    <col min="2" max="2" width="8" style="3" customWidth="1"/>
    <col min="3" max="3" width="41" style="32" customWidth="1"/>
    <col min="4" max="4" width="11.85546875" style="32" hidden="1" customWidth="1"/>
    <col min="5" max="5" width="10.42578125" style="32" hidden="1" customWidth="1"/>
    <col min="6" max="6" width="12.5703125" style="32" hidden="1" customWidth="1"/>
    <col min="7" max="7" width="9.42578125" style="32" hidden="1" customWidth="1"/>
    <col min="8" max="8" width="16.7109375" style="32" customWidth="1"/>
    <col min="9" max="9" width="16.5703125" style="1" customWidth="1"/>
    <col min="10" max="10" width="20.28515625" style="1" customWidth="1"/>
    <col min="11" max="11" width="23.5703125" style="1" customWidth="1"/>
    <col min="12" max="12" width="13.85546875" style="1" customWidth="1"/>
    <col min="13" max="13" width="35" style="1" customWidth="1"/>
    <col min="14" max="16384" width="9.140625" style="1"/>
  </cols>
  <sheetData>
    <row r="1" spans="2:17" ht="15.75" customHeight="1">
      <c r="B1" s="2418" t="s">
        <v>2549</v>
      </c>
      <c r="C1" s="2418"/>
      <c r="D1" s="2418"/>
      <c r="E1" s="2418"/>
      <c r="F1" s="2418"/>
      <c r="G1" s="2418"/>
      <c r="H1" s="2418"/>
      <c r="I1" s="2418"/>
      <c r="J1" s="2418"/>
      <c r="K1" s="2418"/>
      <c r="L1" s="2418"/>
      <c r="M1" s="2418"/>
    </row>
    <row r="2" spans="2:17" ht="15.75" customHeight="1">
      <c r="B2" s="2419" t="s">
        <v>2689</v>
      </c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</row>
    <row r="3" spans="2:17" ht="15.75" customHeight="1">
      <c r="B3" s="1843"/>
      <c r="C3" s="1843"/>
      <c r="D3" s="1843"/>
      <c r="E3" s="1843"/>
      <c r="F3" s="1843"/>
      <c r="G3" s="1843"/>
      <c r="H3" s="1843"/>
      <c r="I3" s="1843"/>
      <c r="J3" s="1843"/>
      <c r="K3" s="1843"/>
      <c r="L3" s="1843"/>
      <c r="M3" s="1843"/>
    </row>
    <row r="4" spans="2:17" ht="15.75" customHeight="1">
      <c r="B4" s="2419" t="s">
        <v>2576</v>
      </c>
      <c r="C4" s="2419"/>
      <c r="D4" s="2419"/>
      <c r="E4" s="2419"/>
      <c r="F4" s="2419"/>
      <c r="G4" s="2419"/>
      <c r="H4" s="2419"/>
      <c r="I4" s="2419"/>
      <c r="J4" s="2419"/>
      <c r="K4" s="2419"/>
      <c r="L4" s="2419"/>
      <c r="M4" s="2419"/>
    </row>
    <row r="5" spans="2:17">
      <c r="B5" s="2483" t="s">
        <v>2550</v>
      </c>
      <c r="C5" s="2483"/>
      <c r="D5" s="2483"/>
      <c r="E5" s="2483"/>
      <c r="F5" s="2483"/>
      <c r="G5" s="2483"/>
      <c r="H5" s="2483"/>
      <c r="I5" s="2483"/>
      <c r="J5" s="2483"/>
      <c r="K5" s="2483"/>
      <c r="L5" s="2483"/>
      <c r="M5" s="2483"/>
    </row>
    <row r="6" spans="2:17" ht="16.5" thickBot="1">
      <c r="B6" s="1845"/>
      <c r="C6" s="1845"/>
      <c r="D6" s="1"/>
      <c r="E6" s="1"/>
      <c r="F6" s="1"/>
      <c r="G6" s="1"/>
      <c r="H6" s="1"/>
      <c r="M6" s="1855" t="s">
        <v>97</v>
      </c>
      <c r="N6" s="119"/>
      <c r="O6" s="119"/>
      <c r="P6" s="119"/>
      <c r="Q6" s="119"/>
    </row>
    <row r="7" spans="2:17" ht="33.75" customHeight="1">
      <c r="B7" s="2477" t="s">
        <v>1003</v>
      </c>
      <c r="C7" s="2452" t="s">
        <v>282</v>
      </c>
      <c r="D7" s="2452" t="s">
        <v>1034</v>
      </c>
      <c r="E7" s="2452"/>
      <c r="F7" s="2452"/>
      <c r="G7" s="2452"/>
      <c r="H7" s="2452" t="s">
        <v>2591</v>
      </c>
      <c r="I7" s="2452"/>
      <c r="J7" s="2452"/>
      <c r="K7" s="2452"/>
      <c r="L7" s="2452"/>
      <c r="M7" s="2142" t="s">
        <v>2592</v>
      </c>
    </row>
    <row r="8" spans="2:17" ht="49.5" customHeight="1">
      <c r="B8" s="2478"/>
      <c r="C8" s="2443"/>
      <c r="D8" s="2140" t="s">
        <v>1035</v>
      </c>
      <c r="E8" s="2140" t="s">
        <v>1036</v>
      </c>
      <c r="F8" s="2140" t="s">
        <v>1038</v>
      </c>
      <c r="G8" s="2140" t="s">
        <v>1037</v>
      </c>
      <c r="H8" s="2140" t="s">
        <v>1035</v>
      </c>
      <c r="I8" s="2140" t="s">
        <v>1036</v>
      </c>
      <c r="J8" s="2140" t="s">
        <v>1047</v>
      </c>
      <c r="K8" s="2140" t="s">
        <v>2566</v>
      </c>
      <c r="L8" s="2140" t="s">
        <v>287</v>
      </c>
      <c r="M8" s="2141" t="s">
        <v>1040</v>
      </c>
    </row>
    <row r="9" spans="2:17" ht="22.5" customHeight="1">
      <c r="B9" s="2143"/>
      <c r="C9" s="2140" t="s">
        <v>2553</v>
      </c>
      <c r="D9" s="2140">
        <v>1</v>
      </c>
      <c r="E9" s="2140">
        <v>2</v>
      </c>
      <c r="F9" s="2140">
        <v>3</v>
      </c>
      <c r="G9" s="2140">
        <v>4</v>
      </c>
      <c r="H9" s="2140">
        <v>1</v>
      </c>
      <c r="I9" s="2140">
        <v>2</v>
      </c>
      <c r="J9" s="2140">
        <v>3</v>
      </c>
      <c r="K9" s="2140">
        <v>4</v>
      </c>
      <c r="L9" s="2140" t="s">
        <v>2578</v>
      </c>
      <c r="M9" s="2141">
        <v>6</v>
      </c>
    </row>
    <row r="10" spans="2:17">
      <c r="B10" s="1862">
        <v>1</v>
      </c>
      <c r="C10" s="1764" t="s">
        <v>152</v>
      </c>
      <c r="D10" s="63">
        <v>29.877851339913263</v>
      </c>
      <c r="E10" s="63">
        <v>4.57</v>
      </c>
      <c r="F10" s="63">
        <f>'Schedules of Accounts'!E31/10^7</f>
        <v>18.2622</v>
      </c>
      <c r="G10" s="63">
        <f>F10</f>
        <v>18.2622</v>
      </c>
      <c r="H10" s="1821">
        <v>40.020000000000003</v>
      </c>
      <c r="I10" s="1395">
        <v>9.99</v>
      </c>
      <c r="J10" s="1395">
        <v>0</v>
      </c>
      <c r="K10" s="1784">
        <v>40</v>
      </c>
      <c r="L10" s="1784">
        <f>J10+K10</f>
        <v>40</v>
      </c>
      <c r="M10" s="1785">
        <v>10</v>
      </c>
    </row>
    <row r="11" spans="2:17">
      <c r="B11" s="1862">
        <v>2</v>
      </c>
      <c r="C11" s="1764" t="s">
        <v>153</v>
      </c>
      <c r="D11" s="36"/>
      <c r="E11" s="36"/>
      <c r="F11" s="36"/>
      <c r="G11" s="36"/>
      <c r="H11" s="1821"/>
      <c r="I11" s="1536"/>
      <c r="J11" s="1395"/>
      <c r="K11" s="1784"/>
      <c r="L11" s="1784"/>
      <c r="M11" s="1785"/>
    </row>
    <row r="12" spans="2:17">
      <c r="B12" s="1862"/>
      <c r="C12" s="1764" t="s">
        <v>351</v>
      </c>
      <c r="D12" s="63">
        <v>53.351071942123959</v>
      </c>
      <c r="E12" s="63">
        <v>0</v>
      </c>
      <c r="F12" s="63">
        <f>'Schedules of Accounts'!E27/10^7</f>
        <v>71.481984100000005</v>
      </c>
      <c r="G12" s="63">
        <f>F12</f>
        <v>71.481984100000005</v>
      </c>
      <c r="H12" s="1821">
        <v>95.35</v>
      </c>
      <c r="I12" s="1536">
        <v>0</v>
      </c>
      <c r="J12" s="1395">
        <v>3.7550821999999999</v>
      </c>
      <c r="K12" s="1784">
        <f>'F1'!K37</f>
        <v>20.2449178</v>
      </c>
      <c r="L12" s="1784">
        <f>'F1'!L37</f>
        <v>24</v>
      </c>
      <c r="M12" s="1785">
        <f>'F1'!M37</f>
        <v>26.400000000000002</v>
      </c>
    </row>
    <row r="13" spans="2:17">
      <c r="B13" s="1862"/>
      <c r="C13" s="1764" t="s">
        <v>352</v>
      </c>
      <c r="D13" s="63">
        <v>0</v>
      </c>
      <c r="E13" s="63">
        <v>0</v>
      </c>
      <c r="F13" s="63">
        <f>'Schedules of Accounts'!E26/10^7</f>
        <v>0.75001499999999999</v>
      </c>
      <c r="G13" s="63">
        <f>F13</f>
        <v>0.75001499999999999</v>
      </c>
      <c r="H13" s="1821">
        <v>0.56999999999999995</v>
      </c>
      <c r="I13" s="1536">
        <v>0</v>
      </c>
      <c r="J13" s="1395">
        <v>0.1711366</v>
      </c>
      <c r="K13" s="1784">
        <f>'F4'!K22</f>
        <v>0</v>
      </c>
      <c r="L13" s="1784">
        <f>'F4'!L22</f>
        <v>0.17</v>
      </c>
      <c r="M13" s="1785">
        <f>'F4'!M22</f>
        <v>0</v>
      </c>
    </row>
    <row r="14" spans="2:17">
      <c r="B14" s="1862"/>
      <c r="C14" s="1764" t="s">
        <v>353</v>
      </c>
      <c r="D14" s="63">
        <v>4.6400367179627917</v>
      </c>
      <c r="E14" s="63">
        <v>0</v>
      </c>
      <c r="F14" s="63">
        <f>'Schedules of Accounts'!E28/10^7</f>
        <v>6.9004864000000001</v>
      </c>
      <c r="G14" s="63">
        <f>F14</f>
        <v>6.9004864000000001</v>
      </c>
      <c r="H14" s="1821">
        <v>2.96</v>
      </c>
      <c r="I14" s="1536">
        <v>0</v>
      </c>
      <c r="J14" s="1395">
        <v>1.5812508999999999</v>
      </c>
      <c r="K14" s="1784">
        <f>'F5'!K33</f>
        <v>0</v>
      </c>
      <c r="L14" s="1784">
        <f>'F5'!L33</f>
        <v>1.58</v>
      </c>
      <c r="M14" s="1785">
        <f>'F5'!M33</f>
        <v>0</v>
      </c>
    </row>
    <row r="15" spans="2:17">
      <c r="B15" s="37"/>
      <c r="C15" s="1765" t="s">
        <v>287</v>
      </c>
      <c r="D15" s="38">
        <f t="shared" ref="D15:J15" si="0">SUM(D12:D14)</f>
        <v>57.991108660086752</v>
      </c>
      <c r="E15" s="38">
        <f t="shared" si="0"/>
        <v>0</v>
      </c>
      <c r="F15" s="38">
        <f t="shared" si="0"/>
        <v>79.132485500000016</v>
      </c>
      <c r="G15" s="38">
        <f t="shared" si="0"/>
        <v>79.132485500000016</v>
      </c>
      <c r="H15" s="1822">
        <f t="shared" si="0"/>
        <v>98.879999999999981</v>
      </c>
      <c r="I15" s="1822">
        <f t="shared" si="0"/>
        <v>0</v>
      </c>
      <c r="J15" s="1822">
        <f t="shared" si="0"/>
        <v>5.5074696999999997</v>
      </c>
      <c r="K15" s="1823">
        <f>SUM(K12:K14)</f>
        <v>20.2449178</v>
      </c>
      <c r="L15" s="1823">
        <f>SUM(L12:L14)</f>
        <v>25.75</v>
      </c>
      <c r="M15" s="1824">
        <f>SUM(M12:M14)</f>
        <v>26.400000000000002</v>
      </c>
    </row>
    <row r="16" spans="2:17" ht="16.5" thickBot="1">
      <c r="B16" s="178"/>
      <c r="C16" s="1773" t="s">
        <v>354</v>
      </c>
      <c r="D16" s="179">
        <f t="shared" ref="D16:J16" si="1">D10+D15</f>
        <v>87.868960000000015</v>
      </c>
      <c r="E16" s="179">
        <f t="shared" si="1"/>
        <v>4.57</v>
      </c>
      <c r="F16" s="179">
        <f t="shared" si="1"/>
        <v>97.394685500000008</v>
      </c>
      <c r="G16" s="179">
        <f t="shared" si="1"/>
        <v>97.394685500000008</v>
      </c>
      <c r="H16" s="1820">
        <f t="shared" si="1"/>
        <v>138.89999999999998</v>
      </c>
      <c r="I16" s="1820">
        <f t="shared" si="1"/>
        <v>9.99</v>
      </c>
      <c r="J16" s="1820">
        <f t="shared" si="1"/>
        <v>5.5074696999999997</v>
      </c>
      <c r="K16" s="1807">
        <f>K10+K15</f>
        <v>60.244917799999996</v>
      </c>
      <c r="L16" s="1807">
        <f>L10+L15</f>
        <v>65.75</v>
      </c>
      <c r="M16" s="1825">
        <f>M10+M15</f>
        <v>36.400000000000006</v>
      </c>
    </row>
    <row r="17" spans="2:9">
      <c r="B17" s="13"/>
      <c r="C17" s="41"/>
      <c r="D17" s="12"/>
      <c r="E17" s="12"/>
      <c r="F17" s="12"/>
      <c r="G17" s="12"/>
      <c r="H17" s="12"/>
    </row>
    <row r="18" spans="2:9">
      <c r="B18" s="13"/>
      <c r="C18" s="12"/>
      <c r="D18" s="12"/>
      <c r="E18" s="12"/>
      <c r="F18" s="12"/>
      <c r="G18" s="12"/>
      <c r="H18" s="12"/>
    </row>
    <row r="19" spans="2:9">
      <c r="B19" s="13"/>
      <c r="C19" s="12"/>
      <c r="D19" s="12"/>
      <c r="E19" s="12"/>
      <c r="F19" s="12"/>
      <c r="G19" s="12"/>
      <c r="H19" s="12"/>
    </row>
    <row r="20" spans="2:9">
      <c r="B20" s="39"/>
      <c r="C20" s="40"/>
      <c r="D20" s="12"/>
      <c r="E20" s="12"/>
      <c r="F20" s="12"/>
      <c r="G20" s="12"/>
      <c r="H20" s="12"/>
    </row>
    <row r="21" spans="2:9">
      <c r="B21" s="13"/>
      <c r="C21" s="12"/>
      <c r="D21" s="12"/>
      <c r="E21" s="12"/>
      <c r="F21" s="353"/>
      <c r="G21" s="12"/>
      <c r="H21" s="12"/>
      <c r="I21" s="354"/>
    </row>
    <row r="22" spans="2:9">
      <c r="B22" s="41"/>
      <c r="C22" s="42"/>
      <c r="D22" s="12"/>
      <c r="E22" s="12"/>
      <c r="F22" s="12"/>
      <c r="G22" s="12"/>
      <c r="H22" s="12"/>
    </row>
    <row r="23" spans="2:9">
      <c r="B23" s="13"/>
      <c r="C23" s="12"/>
      <c r="D23" s="12"/>
      <c r="E23" s="12"/>
      <c r="F23" s="12"/>
      <c r="G23" s="12"/>
      <c r="H23" s="12"/>
    </row>
    <row r="24" spans="2:9">
      <c r="B24" s="41"/>
      <c r="C24" s="41"/>
      <c r="D24" s="12"/>
      <c r="E24" s="12"/>
      <c r="F24" s="12"/>
      <c r="G24" s="12"/>
      <c r="H24" s="12"/>
    </row>
    <row r="25" spans="2:9">
      <c r="B25" s="41"/>
      <c r="C25" s="41"/>
      <c r="D25" s="12"/>
      <c r="E25" s="12"/>
      <c r="F25" s="12"/>
      <c r="G25" s="12"/>
      <c r="H25" s="12"/>
    </row>
    <row r="26" spans="2:9">
      <c r="B26" s="13"/>
      <c r="C26" s="43"/>
      <c r="D26" s="12"/>
      <c r="E26" s="12"/>
      <c r="F26" s="12"/>
      <c r="G26" s="12"/>
      <c r="H26" s="12"/>
    </row>
    <row r="27" spans="2:9">
      <c r="B27" s="13"/>
      <c r="C27" s="43"/>
      <c r="D27" s="12"/>
      <c r="E27" s="12"/>
      <c r="F27" s="12"/>
      <c r="G27" s="12"/>
      <c r="H27" s="12"/>
    </row>
    <row r="28" spans="2:9">
      <c r="B28" s="13"/>
      <c r="C28" s="12"/>
      <c r="D28" s="12"/>
      <c r="E28" s="12"/>
      <c r="F28" s="12"/>
      <c r="G28" s="12"/>
      <c r="H28" s="12"/>
    </row>
    <row r="29" spans="2:9">
      <c r="B29" s="13"/>
      <c r="C29" s="44"/>
      <c r="D29" s="12"/>
      <c r="E29" s="12"/>
      <c r="F29" s="12"/>
      <c r="G29" s="12"/>
      <c r="H29" s="12"/>
    </row>
    <row r="30" spans="2:9">
      <c r="B30" s="13"/>
      <c r="C30" s="45"/>
      <c r="D30" s="12"/>
      <c r="E30" s="12"/>
      <c r="F30" s="12"/>
      <c r="G30" s="12"/>
      <c r="H30" s="12"/>
    </row>
    <row r="31" spans="2:9">
      <c r="B31" s="13"/>
      <c r="C31" s="44"/>
      <c r="D31" s="12"/>
      <c r="E31" s="12"/>
      <c r="F31" s="12"/>
      <c r="G31" s="12"/>
      <c r="H31" s="12"/>
    </row>
    <row r="32" spans="2:9">
      <c r="B32" s="13"/>
      <c r="C32" s="44"/>
      <c r="D32" s="12"/>
      <c r="E32" s="12"/>
      <c r="F32" s="12"/>
      <c r="G32" s="12"/>
      <c r="H32" s="12"/>
    </row>
    <row r="33" spans="2:8">
      <c r="B33" s="13"/>
      <c r="C33" s="44"/>
      <c r="D33" s="12"/>
      <c r="E33" s="12"/>
      <c r="F33" s="12"/>
      <c r="G33" s="12"/>
      <c r="H33" s="12"/>
    </row>
    <row r="34" spans="2:8">
      <c r="B34" s="13"/>
      <c r="C34" s="13"/>
      <c r="D34" s="12"/>
      <c r="E34" s="12"/>
      <c r="F34" s="12"/>
      <c r="G34" s="12"/>
      <c r="H34" s="12"/>
    </row>
    <row r="35" spans="2:8">
      <c r="B35" s="13"/>
      <c r="C35" s="41"/>
      <c r="D35" s="12"/>
      <c r="E35" s="12"/>
      <c r="F35" s="12"/>
      <c r="G35" s="12"/>
      <c r="H35" s="12"/>
    </row>
    <row r="36" spans="2:8">
      <c r="B36" s="13"/>
      <c r="C36" s="12"/>
      <c r="D36" s="12"/>
      <c r="E36" s="12"/>
      <c r="F36" s="12"/>
      <c r="G36" s="12"/>
      <c r="H36" s="12"/>
    </row>
  </sheetData>
  <sheetProtection selectLockedCells="1" selectUnlockedCells="1"/>
  <mergeCells count="8">
    <mergeCell ref="B1:M1"/>
    <mergeCell ref="B2:M2"/>
    <mergeCell ref="B5:M5"/>
    <mergeCell ref="B4:M4"/>
    <mergeCell ref="D7:G7"/>
    <mergeCell ref="H7:L7"/>
    <mergeCell ref="B7:B8"/>
    <mergeCell ref="C7:C8"/>
  </mergeCells>
  <phoneticPr fontId="14" type="noConversion"/>
  <printOptions horizontalCentered="1"/>
  <pageMargins left="0.7" right="0.7" top="0.75" bottom="0.75" header="0.3" footer="0.3"/>
  <pageSetup paperSize="9" scale="72" firstPageNumber="6" orientation="landscape" useFirstPageNumber="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18"/>
  <sheetViews>
    <sheetView workbookViewId="0">
      <selection activeCell="C20" sqref="C20"/>
    </sheetView>
  </sheetViews>
  <sheetFormatPr defaultRowHeight="12.75"/>
  <cols>
    <col min="1" max="1" width="9.140625" style="1588"/>
    <col min="2" max="2" width="35.140625" style="1588" bestFit="1" customWidth="1"/>
    <col min="3" max="3" width="14" style="1588" customWidth="1"/>
    <col min="4" max="4" width="11.5703125" style="1588" customWidth="1"/>
    <col min="5" max="5" width="11" style="1588" customWidth="1"/>
    <col min="6" max="16384" width="9.140625" style="1588"/>
  </cols>
  <sheetData>
    <row r="2" spans="2:5" ht="63.75">
      <c r="B2" s="1586" t="s">
        <v>2646</v>
      </c>
      <c r="C2" s="1587" t="s">
        <v>2647</v>
      </c>
      <c r="D2" s="1587" t="s">
        <v>2648</v>
      </c>
      <c r="E2" s="1587" t="s">
        <v>2649</v>
      </c>
    </row>
    <row r="3" spans="2:5">
      <c r="B3" s="1589" t="s">
        <v>2650</v>
      </c>
      <c r="C3" s="1590">
        <v>117</v>
      </c>
      <c r="D3" s="1590">
        <v>28</v>
      </c>
      <c r="E3" s="1590">
        <f>C3-D3</f>
        <v>89</v>
      </c>
    </row>
    <row r="4" spans="2:5">
      <c r="B4" s="1589" t="s">
        <v>2651</v>
      </c>
      <c r="C4" s="1590">
        <v>11</v>
      </c>
      <c r="D4" s="1590">
        <v>6</v>
      </c>
      <c r="E4" s="1590">
        <f t="shared" ref="E4:E17" si="0">C4-D4</f>
        <v>5</v>
      </c>
    </row>
    <row r="5" spans="2:5">
      <c r="B5" s="1589" t="s">
        <v>2652</v>
      </c>
      <c r="C5" s="1590">
        <v>158</v>
      </c>
      <c r="D5" s="1590">
        <v>81</v>
      </c>
      <c r="E5" s="1590">
        <f t="shared" si="0"/>
        <v>77</v>
      </c>
    </row>
    <row r="6" spans="2:5">
      <c r="B6" s="1589" t="s">
        <v>2653</v>
      </c>
      <c r="C6" s="1590">
        <v>44</v>
      </c>
      <c r="D6" s="1590">
        <v>17</v>
      </c>
      <c r="E6" s="1590">
        <f t="shared" si="0"/>
        <v>27</v>
      </c>
    </row>
    <row r="7" spans="2:5">
      <c r="B7" s="1589" t="s">
        <v>2654</v>
      </c>
      <c r="C7" s="1590">
        <v>3</v>
      </c>
      <c r="D7" s="1590">
        <v>3</v>
      </c>
      <c r="E7" s="1590">
        <f t="shared" si="0"/>
        <v>0</v>
      </c>
    </row>
    <row r="8" spans="2:5">
      <c r="B8" s="1589" t="s">
        <v>2655</v>
      </c>
      <c r="C8" s="1590">
        <v>2</v>
      </c>
      <c r="D8" s="1590">
        <v>1</v>
      </c>
      <c r="E8" s="1590">
        <f t="shared" si="0"/>
        <v>1</v>
      </c>
    </row>
    <row r="9" spans="2:5">
      <c r="B9" s="1589" t="s">
        <v>2656</v>
      </c>
      <c r="C9" s="1590">
        <v>6</v>
      </c>
      <c r="D9" s="1590">
        <v>3</v>
      </c>
      <c r="E9" s="1590">
        <f t="shared" si="0"/>
        <v>3</v>
      </c>
    </row>
    <row r="10" spans="2:5">
      <c r="B10" s="1589" t="s">
        <v>2657</v>
      </c>
      <c r="C10" s="1590">
        <v>2</v>
      </c>
      <c r="D10" s="1590">
        <v>2</v>
      </c>
      <c r="E10" s="1590">
        <f t="shared" si="0"/>
        <v>0</v>
      </c>
    </row>
    <row r="11" spans="2:5">
      <c r="B11" s="1589" t="s">
        <v>2409</v>
      </c>
      <c r="C11" s="1590">
        <v>325</v>
      </c>
      <c r="D11" s="1590">
        <v>96</v>
      </c>
      <c r="E11" s="1590">
        <f t="shared" si="0"/>
        <v>229</v>
      </c>
    </row>
    <row r="12" spans="2:5">
      <c r="B12" s="1589" t="s">
        <v>2413</v>
      </c>
      <c r="C12" s="1590">
        <v>10</v>
      </c>
      <c r="D12" s="1590">
        <v>0</v>
      </c>
      <c r="E12" s="1590">
        <f t="shared" si="0"/>
        <v>10</v>
      </c>
    </row>
    <row r="13" spans="2:5">
      <c r="B13" s="1589" t="s">
        <v>2407</v>
      </c>
      <c r="C13" s="1590">
        <v>60</v>
      </c>
      <c r="D13" s="1590">
        <v>0</v>
      </c>
      <c r="E13" s="1590">
        <f t="shared" si="0"/>
        <v>60</v>
      </c>
    </row>
    <row r="14" spans="2:5">
      <c r="B14" s="1589" t="s">
        <v>2408</v>
      </c>
      <c r="C14" s="1590">
        <v>20</v>
      </c>
      <c r="D14" s="1590">
        <v>0</v>
      </c>
      <c r="E14" s="1590">
        <f t="shared" si="0"/>
        <v>20</v>
      </c>
    </row>
    <row r="15" spans="2:5">
      <c r="B15" s="1589" t="s">
        <v>2414</v>
      </c>
      <c r="C15" s="1590">
        <v>24</v>
      </c>
      <c r="D15" s="1590">
        <v>4</v>
      </c>
      <c r="E15" s="1590">
        <f t="shared" si="0"/>
        <v>20</v>
      </c>
    </row>
    <row r="16" spans="2:5">
      <c r="B16" s="1589" t="s">
        <v>2658</v>
      </c>
      <c r="C16" s="1590">
        <v>10</v>
      </c>
      <c r="D16" s="1590">
        <v>0</v>
      </c>
      <c r="E16" s="1590">
        <f t="shared" si="0"/>
        <v>10</v>
      </c>
    </row>
    <row r="17" spans="2:5">
      <c r="B17" s="1589" t="s">
        <v>2659</v>
      </c>
      <c r="C17" s="1590">
        <v>3</v>
      </c>
      <c r="D17" s="1590">
        <v>0</v>
      </c>
      <c r="E17" s="1590">
        <f t="shared" si="0"/>
        <v>3</v>
      </c>
    </row>
    <row r="18" spans="2:5">
      <c r="B18" s="1588" t="s">
        <v>287</v>
      </c>
      <c r="C18" s="1591">
        <f>SUM(C3:C17)</f>
        <v>795</v>
      </c>
      <c r="D18" s="1591">
        <f t="shared" ref="D18:E18" si="1">SUM(D3:D17)</f>
        <v>241</v>
      </c>
      <c r="E18" s="1591">
        <f t="shared" si="1"/>
        <v>554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L63"/>
  <sheetViews>
    <sheetView view="pageBreakPreview" topLeftCell="A42" zoomScale="69" zoomScaleSheetLayoutView="69" workbookViewId="0">
      <selection activeCell="N44" sqref="N44:O44"/>
    </sheetView>
  </sheetViews>
  <sheetFormatPr defaultRowHeight="15" customHeight="1"/>
  <cols>
    <col min="1" max="1" width="5.140625" style="2" customWidth="1"/>
    <col min="2" max="2" width="8.7109375" style="2" customWidth="1"/>
    <col min="3" max="3" width="48.140625" style="2" customWidth="1"/>
    <col min="4" max="4" width="19.5703125" style="6" hidden="1" customWidth="1"/>
    <col min="5" max="5" width="14.42578125" style="6" hidden="1" customWidth="1"/>
    <col min="6" max="6" width="14" style="6" hidden="1" customWidth="1"/>
    <col min="7" max="7" width="21" style="6" hidden="1" customWidth="1"/>
    <col min="8" max="8" width="13.5703125" style="6" hidden="1" customWidth="1"/>
    <col min="9" max="9" width="17.7109375" style="6" hidden="1" customWidth="1"/>
    <col min="10" max="10" width="14.42578125" style="6" hidden="1" customWidth="1"/>
    <col min="11" max="11" width="15.28515625" style="6" hidden="1" customWidth="1"/>
    <col min="12" max="12" width="15" style="6" customWidth="1"/>
    <col min="13" max="13" width="21.85546875" style="6" customWidth="1"/>
    <col min="14" max="14" width="16.85546875" style="6" customWidth="1"/>
    <col min="15" max="15" width="19.28515625" style="6" customWidth="1"/>
    <col min="16" max="16" width="14.85546875" style="6" bestFit="1" customWidth="1"/>
    <col min="17" max="17" width="23.85546875" style="2" customWidth="1"/>
    <col min="18" max="18" width="15.7109375" style="2" bestFit="1" customWidth="1"/>
    <col min="19" max="19" width="12.7109375" style="2" customWidth="1"/>
    <col min="20" max="20" width="9.140625" style="2"/>
    <col min="21" max="21" width="15.85546875" style="2" customWidth="1"/>
    <col min="22" max="22" width="13.7109375" style="2" customWidth="1"/>
    <col min="23" max="23" width="9.140625" style="2"/>
    <col min="24" max="24" width="14" style="2" customWidth="1"/>
    <col min="25" max="25" width="13.85546875" style="2" customWidth="1"/>
    <col min="26" max="26" width="17.42578125" style="2" customWidth="1"/>
    <col min="27" max="27" width="13" style="2" customWidth="1"/>
    <col min="28" max="28" width="9.140625" style="2"/>
    <col min="29" max="29" width="16.42578125" style="2" customWidth="1"/>
    <col min="30" max="16384" width="9.140625" style="2"/>
  </cols>
  <sheetData>
    <row r="1" spans="2:38" ht="15" hidden="1" customHeight="1">
      <c r="O1" s="2487" t="s">
        <v>1160</v>
      </c>
      <c r="P1" s="2487"/>
    </row>
    <row r="2" spans="2:38" s="8" customFormat="1" ht="23.25" hidden="1" customHeight="1">
      <c r="B2" s="2488" t="s">
        <v>297</v>
      </c>
      <c r="C2" s="2488"/>
      <c r="D2" s="2488"/>
      <c r="E2" s="2488"/>
      <c r="F2" s="2488"/>
      <c r="G2" s="2488"/>
      <c r="H2" s="2488"/>
      <c r="I2" s="2488"/>
      <c r="J2" s="2488"/>
      <c r="K2" s="2488"/>
      <c r="L2" s="2488"/>
      <c r="M2" s="2488"/>
      <c r="N2" s="2488"/>
      <c r="O2" s="2488"/>
      <c r="P2" s="2488"/>
    </row>
    <row r="3" spans="2:38" s="8" customFormat="1" ht="20.25" hidden="1" customHeight="1">
      <c r="B3" s="2488" t="s">
        <v>298</v>
      </c>
      <c r="C3" s="2488"/>
      <c r="D3" s="2488"/>
      <c r="E3" s="2488"/>
      <c r="F3" s="2488"/>
      <c r="G3" s="2488"/>
      <c r="H3" s="2488"/>
      <c r="I3" s="2488"/>
      <c r="J3" s="2488"/>
      <c r="K3" s="2488"/>
      <c r="L3" s="2488"/>
      <c r="M3" s="2488"/>
      <c r="N3" s="2488"/>
      <c r="O3" s="2488"/>
      <c r="P3" s="2488"/>
    </row>
    <row r="4" spans="2:38" ht="20.25" hidden="1" customHeight="1" thickBot="1">
      <c r="B4" s="2489" t="s">
        <v>299</v>
      </c>
      <c r="C4" s="2489"/>
      <c r="D4" s="2489"/>
      <c r="E4" s="2489"/>
      <c r="F4" s="2489"/>
      <c r="G4" s="2489"/>
      <c r="H4" s="2489"/>
      <c r="I4" s="2489"/>
      <c r="J4" s="2489"/>
      <c r="K4" s="2489"/>
      <c r="L4" s="2489"/>
      <c r="M4" s="2489"/>
      <c r="N4" s="2489"/>
      <c r="O4" s="2489"/>
      <c r="P4" s="2489"/>
    </row>
    <row r="5" spans="2:38" s="8" customFormat="1" ht="15" hidden="1" customHeight="1">
      <c r="B5" s="2490" t="s">
        <v>349</v>
      </c>
      <c r="C5" s="2506" t="s">
        <v>331</v>
      </c>
      <c r="D5" s="2508" t="s">
        <v>1161</v>
      </c>
      <c r="E5" s="2508"/>
      <c r="F5" s="2508"/>
      <c r="G5" s="2508"/>
      <c r="H5" s="2508"/>
      <c r="I5" s="2508"/>
      <c r="J5" s="2508"/>
      <c r="K5" s="2508"/>
      <c r="L5" s="2508"/>
      <c r="M5" s="2508"/>
      <c r="N5" s="2508"/>
      <c r="O5" s="2508"/>
      <c r="P5" s="2509"/>
      <c r="Q5" s="2500" t="s">
        <v>1162</v>
      </c>
      <c r="R5" s="2501"/>
      <c r="S5" s="2501"/>
      <c r="T5" s="2501"/>
      <c r="U5" s="2501"/>
      <c r="V5" s="2501"/>
      <c r="W5" s="2501"/>
      <c r="X5" s="2501"/>
      <c r="Y5" s="2501"/>
      <c r="Z5" s="2501"/>
      <c r="AA5" s="2502"/>
      <c r="AB5" s="2500" t="s">
        <v>350</v>
      </c>
      <c r="AC5" s="2501"/>
      <c r="AD5" s="2501"/>
      <c r="AE5" s="2501"/>
      <c r="AF5" s="2501"/>
      <c r="AG5" s="2501"/>
      <c r="AH5" s="2501"/>
      <c r="AI5" s="2501"/>
      <c r="AJ5" s="2501"/>
      <c r="AK5" s="2501"/>
      <c r="AL5" s="2502"/>
    </row>
    <row r="6" spans="2:38" s="8" customFormat="1" ht="15" hidden="1" customHeight="1">
      <c r="B6" s="2491"/>
      <c r="C6" s="2507"/>
      <c r="D6" s="2513" t="s">
        <v>1163</v>
      </c>
      <c r="E6" s="2513"/>
      <c r="F6" s="2513"/>
      <c r="G6" s="2513"/>
      <c r="H6" s="2513"/>
      <c r="I6" s="2513"/>
      <c r="J6" s="2513"/>
      <c r="K6" s="2513"/>
      <c r="L6" s="2513"/>
      <c r="M6" s="2513"/>
      <c r="N6" s="2513"/>
      <c r="O6" s="2513"/>
      <c r="P6" s="2514"/>
      <c r="Q6" s="2484" t="s">
        <v>341</v>
      </c>
      <c r="R6" s="2485"/>
      <c r="S6" s="2485"/>
      <c r="T6" s="2485"/>
      <c r="U6" s="2485"/>
      <c r="V6" s="2485"/>
      <c r="W6" s="2485"/>
      <c r="X6" s="2485"/>
      <c r="Y6" s="2485"/>
      <c r="Z6" s="2485"/>
      <c r="AA6" s="2486"/>
      <c r="AB6" s="2484" t="s">
        <v>342</v>
      </c>
      <c r="AC6" s="2485"/>
      <c r="AD6" s="2485"/>
      <c r="AE6" s="2485"/>
      <c r="AF6" s="2485"/>
      <c r="AG6" s="2485"/>
      <c r="AH6" s="2485"/>
      <c r="AI6" s="2485"/>
      <c r="AJ6" s="2485"/>
      <c r="AK6" s="2485"/>
      <c r="AL6" s="2486"/>
    </row>
    <row r="7" spans="2:38" s="8" customFormat="1" ht="15" hidden="1" customHeight="1" thickBot="1">
      <c r="B7" s="2491"/>
      <c r="C7" s="2507"/>
      <c r="D7" s="2499" t="s">
        <v>1164</v>
      </c>
      <c r="E7" s="2499"/>
      <c r="F7" s="2499"/>
      <c r="G7" s="2499"/>
      <c r="H7" s="2499" t="s">
        <v>1165</v>
      </c>
      <c r="I7" s="2499"/>
      <c r="J7" s="2499"/>
      <c r="K7" s="2499"/>
      <c r="L7" s="2499"/>
      <c r="M7" s="2197"/>
      <c r="N7" s="2197"/>
      <c r="O7" s="2510" t="s">
        <v>1166</v>
      </c>
      <c r="P7" s="2511"/>
      <c r="Q7" s="2498" t="s">
        <v>1164</v>
      </c>
      <c r="R7" s="2499"/>
      <c r="S7" s="2499"/>
      <c r="T7" s="2499"/>
      <c r="U7" s="2495" t="s">
        <v>1165</v>
      </c>
      <c r="V7" s="2496"/>
      <c r="W7" s="2496"/>
      <c r="X7" s="2496"/>
      <c r="Y7" s="2497"/>
      <c r="Z7" s="2493" t="s">
        <v>1166</v>
      </c>
      <c r="AA7" s="2494"/>
      <c r="AB7" s="2498" t="s">
        <v>1164</v>
      </c>
      <c r="AC7" s="2499"/>
      <c r="AD7" s="2499"/>
      <c r="AE7" s="2499"/>
      <c r="AF7" s="2495" t="s">
        <v>1165</v>
      </c>
      <c r="AG7" s="2496"/>
      <c r="AH7" s="2496"/>
      <c r="AI7" s="2496"/>
      <c r="AJ7" s="2497"/>
      <c r="AK7" s="2493" t="s">
        <v>1166</v>
      </c>
      <c r="AL7" s="2494"/>
    </row>
    <row r="8" spans="2:38" s="8" customFormat="1" ht="43.5" hidden="1" customHeight="1" thickBot="1">
      <c r="B8" s="2492"/>
      <c r="C8" s="2493"/>
      <c r="D8" s="2200" t="s">
        <v>1167</v>
      </c>
      <c r="E8" s="2200" t="s">
        <v>1168</v>
      </c>
      <c r="F8" s="2200" t="s">
        <v>1169</v>
      </c>
      <c r="G8" s="2200" t="s">
        <v>1170</v>
      </c>
      <c r="H8" s="2200" t="s">
        <v>1171</v>
      </c>
      <c r="I8" s="2200" t="s">
        <v>1167</v>
      </c>
      <c r="J8" s="2200" t="s">
        <v>1168</v>
      </c>
      <c r="K8" s="2200" t="s">
        <v>1169</v>
      </c>
      <c r="L8" s="2200" t="s">
        <v>1170</v>
      </c>
      <c r="M8" s="2200"/>
      <c r="N8" s="2200"/>
      <c r="O8" s="2200" t="s">
        <v>1172</v>
      </c>
      <c r="P8" s="2201" t="s">
        <v>1173</v>
      </c>
      <c r="Q8" s="2199" t="s">
        <v>1167</v>
      </c>
      <c r="R8" s="1918" t="s">
        <v>1168</v>
      </c>
      <c r="S8" s="1918" t="s">
        <v>1169</v>
      </c>
      <c r="T8" s="1918" t="s">
        <v>1170</v>
      </c>
      <c r="U8" s="1918" t="s">
        <v>1171</v>
      </c>
      <c r="V8" s="1918" t="s">
        <v>1167</v>
      </c>
      <c r="W8" s="1918" t="s">
        <v>1168</v>
      </c>
      <c r="X8" s="1918" t="s">
        <v>1169</v>
      </c>
      <c r="Y8" s="1918" t="s">
        <v>1170</v>
      </c>
      <c r="Z8" s="1918" t="s">
        <v>1172</v>
      </c>
      <c r="AA8" s="1919" t="s">
        <v>1173</v>
      </c>
      <c r="AB8" s="2199" t="s">
        <v>1167</v>
      </c>
      <c r="AC8" s="1918" t="s">
        <v>1168</v>
      </c>
      <c r="AD8" s="1918" t="s">
        <v>1169</v>
      </c>
      <c r="AE8" s="1918" t="s">
        <v>1170</v>
      </c>
      <c r="AF8" s="1918" t="s">
        <v>1171</v>
      </c>
      <c r="AG8" s="1918" t="s">
        <v>1167</v>
      </c>
      <c r="AH8" s="1918" t="s">
        <v>1168</v>
      </c>
      <c r="AI8" s="1918" t="s">
        <v>1169</v>
      </c>
      <c r="AJ8" s="1918" t="s">
        <v>1170</v>
      </c>
      <c r="AK8" s="1918" t="s">
        <v>1172</v>
      </c>
      <c r="AL8" s="1919" t="s">
        <v>1173</v>
      </c>
    </row>
    <row r="9" spans="2:38" ht="31.5" hidden="1" customHeight="1">
      <c r="B9" s="1920">
        <v>1</v>
      </c>
      <c r="C9" s="1921" t="s">
        <v>1174</v>
      </c>
      <c r="D9" s="1774">
        <v>5676989991</v>
      </c>
      <c r="E9" s="36">
        <v>17920263</v>
      </c>
      <c r="F9" s="2196">
        <v>0</v>
      </c>
      <c r="G9" s="1774">
        <v>5694910254</v>
      </c>
      <c r="H9" s="2196"/>
      <c r="I9" s="2196"/>
      <c r="J9" s="1774">
        <v>-8309</v>
      </c>
      <c r="K9" s="2196">
        <v>0</v>
      </c>
      <c r="L9" s="2196"/>
      <c r="M9" s="2196"/>
      <c r="N9" s="2196"/>
      <c r="O9" s="2196"/>
      <c r="P9" s="1922"/>
      <c r="Q9" s="1923"/>
      <c r="R9" s="373">
        <v>3183628</v>
      </c>
      <c r="S9" s="1924"/>
      <c r="T9" s="1925"/>
      <c r="U9" s="1925"/>
      <c r="V9" s="1925"/>
      <c r="W9" s="1925"/>
      <c r="X9" s="1924"/>
      <c r="Y9" s="1925"/>
      <c r="Z9" s="1925"/>
      <c r="AA9" s="1926"/>
      <c r="AB9" s="1923"/>
      <c r="AC9" s="1927"/>
      <c r="AD9" s="1924"/>
      <c r="AE9" s="1925"/>
      <c r="AF9" s="1925"/>
      <c r="AG9" s="1925"/>
      <c r="AH9" s="1925"/>
      <c r="AI9" s="1924"/>
      <c r="AJ9" s="1925"/>
      <c r="AK9" s="1925"/>
      <c r="AL9" s="1926"/>
    </row>
    <row r="10" spans="2:38" ht="31.5" hidden="1" customHeight="1">
      <c r="B10" s="1928">
        <v>2</v>
      </c>
      <c r="C10" s="1929" t="s">
        <v>1175</v>
      </c>
      <c r="D10" s="1774">
        <f>13342675792+43566366523+756845533</f>
        <v>57665887848</v>
      </c>
      <c r="E10" s="36">
        <f>3478428544+377667644+4522700</f>
        <v>3860618888</v>
      </c>
      <c r="F10" s="2196">
        <v>0</v>
      </c>
      <c r="G10" s="1774">
        <f>16821104336+43944034167+761368233</f>
        <v>61526506736</v>
      </c>
      <c r="H10" s="2196"/>
      <c r="I10" s="2196"/>
      <c r="J10" s="1774">
        <f>466009689+913404319+29207867</f>
        <v>1408621875</v>
      </c>
      <c r="K10" s="2196">
        <v>0</v>
      </c>
      <c r="L10" s="2196"/>
      <c r="M10" s="2196"/>
      <c r="N10" s="2196"/>
      <c r="O10" s="2196"/>
      <c r="P10" s="1922"/>
      <c r="Q10" s="1930"/>
      <c r="R10" s="390">
        <v>308603</v>
      </c>
      <c r="S10" s="1574"/>
      <c r="T10" s="1563"/>
      <c r="U10" s="1563"/>
      <c r="V10" s="1563"/>
      <c r="W10" s="1563"/>
      <c r="X10" s="1574"/>
      <c r="Y10" s="1563"/>
      <c r="Z10" s="1563"/>
      <c r="AA10" s="1922"/>
      <c r="AB10" s="1930"/>
      <c r="AC10" s="1931"/>
      <c r="AD10" s="1574"/>
      <c r="AE10" s="1563"/>
      <c r="AF10" s="1563"/>
      <c r="AG10" s="1563"/>
      <c r="AH10" s="1563"/>
      <c r="AI10" s="1574"/>
      <c r="AJ10" s="1563"/>
      <c r="AK10" s="1563"/>
      <c r="AL10" s="1922"/>
    </row>
    <row r="11" spans="2:38" ht="31.5" hidden="1" customHeight="1">
      <c r="B11" s="1928">
        <v>3</v>
      </c>
      <c r="C11" s="1929" t="s">
        <v>1176</v>
      </c>
      <c r="D11" s="1774">
        <v>76217653029</v>
      </c>
      <c r="E11" s="36">
        <v>12232013173</v>
      </c>
      <c r="F11" s="2196">
        <v>0</v>
      </c>
      <c r="G11" s="1774">
        <v>88449666202</v>
      </c>
      <c r="H11" s="2196"/>
      <c r="I11" s="2196"/>
      <c r="J11" s="1774">
        <v>4176262315</v>
      </c>
      <c r="K11" s="2196">
        <v>0</v>
      </c>
      <c r="L11" s="2196"/>
      <c r="M11" s="2196"/>
      <c r="N11" s="2196"/>
      <c r="O11" s="2196"/>
      <c r="P11" s="1922"/>
      <c r="Q11" s="1930"/>
      <c r="R11" s="390">
        <v>-82705354</v>
      </c>
      <c r="S11" s="1574"/>
      <c r="T11" s="1563"/>
      <c r="U11" s="1563"/>
      <c r="V11" s="1563"/>
      <c r="W11" s="1563"/>
      <c r="X11" s="1574"/>
      <c r="Y11" s="1563"/>
      <c r="Z11" s="1563"/>
      <c r="AA11" s="1922"/>
      <c r="AB11" s="1930"/>
      <c r="AC11" s="1931"/>
      <c r="AD11" s="1574"/>
      <c r="AE11" s="1563"/>
      <c r="AF11" s="1563"/>
      <c r="AG11" s="1563"/>
      <c r="AH11" s="1563"/>
      <c r="AI11" s="1574"/>
      <c r="AJ11" s="1563"/>
      <c r="AK11" s="1563"/>
      <c r="AL11" s="1922"/>
    </row>
    <row r="12" spans="2:38" ht="31.5" hidden="1" customHeight="1">
      <c r="B12" s="1932">
        <v>4</v>
      </c>
      <c r="C12" s="1933" t="s">
        <v>1177</v>
      </c>
      <c r="D12" s="1774">
        <v>43451670349</v>
      </c>
      <c r="E12" s="36">
        <v>3925791895</v>
      </c>
      <c r="F12" s="2196">
        <v>0</v>
      </c>
      <c r="G12" s="1774">
        <v>47377462244</v>
      </c>
      <c r="H12" s="2196"/>
      <c r="I12" s="2196"/>
      <c r="J12" s="1774">
        <v>2316499005</v>
      </c>
      <c r="K12" s="2196">
        <v>0</v>
      </c>
      <c r="L12" s="2196"/>
      <c r="M12" s="2196"/>
      <c r="N12" s="2196"/>
      <c r="O12" s="2196"/>
      <c r="P12" s="1922"/>
      <c r="Q12" s="1930"/>
      <c r="R12" s="390">
        <v>-309270084</v>
      </c>
      <c r="S12" s="1574"/>
      <c r="T12" s="1563"/>
      <c r="U12" s="1563"/>
      <c r="V12" s="1563"/>
      <c r="W12" s="1563"/>
      <c r="X12" s="1574"/>
      <c r="Y12" s="1563"/>
      <c r="Z12" s="1563"/>
      <c r="AA12" s="1922"/>
      <c r="AB12" s="1930"/>
      <c r="AC12" s="1931"/>
      <c r="AD12" s="1574"/>
      <c r="AE12" s="1563"/>
      <c r="AF12" s="1563"/>
      <c r="AG12" s="1563"/>
      <c r="AH12" s="1563"/>
      <c r="AI12" s="1574"/>
      <c r="AJ12" s="1563"/>
      <c r="AK12" s="1563"/>
      <c r="AL12" s="1922"/>
    </row>
    <row r="13" spans="2:38" ht="31.5" hidden="1" customHeight="1">
      <c r="B13" s="1928">
        <v>5</v>
      </c>
      <c r="C13" s="1929" t="s">
        <v>1178</v>
      </c>
      <c r="D13" s="1774">
        <v>0</v>
      </c>
      <c r="E13" s="36">
        <v>0</v>
      </c>
      <c r="F13" s="2196">
        <v>0</v>
      </c>
      <c r="G13" s="1774">
        <v>0</v>
      </c>
      <c r="H13" s="2196">
        <v>0</v>
      </c>
      <c r="I13" s="2196">
        <v>0</v>
      </c>
      <c r="J13" s="1774">
        <v>0</v>
      </c>
      <c r="K13" s="2196">
        <v>0</v>
      </c>
      <c r="L13" s="2196"/>
      <c r="M13" s="2196"/>
      <c r="N13" s="2196"/>
      <c r="O13" s="2196"/>
      <c r="P13" s="1922"/>
      <c r="Q13" s="1930"/>
      <c r="R13" s="390">
        <v>0</v>
      </c>
      <c r="S13" s="1574"/>
      <c r="T13" s="1563"/>
      <c r="U13" s="2196"/>
      <c r="V13" s="1563"/>
      <c r="W13" s="1563"/>
      <c r="X13" s="1574"/>
      <c r="Y13" s="1563"/>
      <c r="Z13" s="1563"/>
      <c r="AA13" s="1922"/>
      <c r="AB13" s="1930"/>
      <c r="AC13" s="1931"/>
      <c r="AD13" s="1574"/>
      <c r="AE13" s="1563"/>
      <c r="AF13" s="2196"/>
      <c r="AG13" s="1563"/>
      <c r="AH13" s="1563"/>
      <c r="AI13" s="1574"/>
      <c r="AJ13" s="1563"/>
      <c r="AK13" s="1563"/>
      <c r="AL13" s="1922"/>
    </row>
    <row r="14" spans="2:38" ht="31.5" hidden="1" customHeight="1">
      <c r="B14" s="1928">
        <v>6</v>
      </c>
      <c r="C14" s="1929" t="s">
        <v>1179</v>
      </c>
      <c r="D14" s="1774">
        <v>0</v>
      </c>
      <c r="E14" s="36">
        <v>0</v>
      </c>
      <c r="F14" s="2196">
        <v>0</v>
      </c>
      <c r="G14" s="1774">
        <v>0</v>
      </c>
      <c r="H14" s="2196">
        <v>0</v>
      </c>
      <c r="I14" s="2196">
        <v>0</v>
      </c>
      <c r="J14" s="1774">
        <v>0</v>
      </c>
      <c r="K14" s="2196">
        <v>0</v>
      </c>
      <c r="L14" s="2196"/>
      <c r="M14" s="2196"/>
      <c r="N14" s="2196"/>
      <c r="O14" s="2196"/>
      <c r="P14" s="1922"/>
      <c r="Q14" s="1930"/>
      <c r="R14" s="390">
        <v>0</v>
      </c>
      <c r="S14" s="1574"/>
      <c r="T14" s="1563"/>
      <c r="U14" s="2196"/>
      <c r="V14" s="1563"/>
      <c r="W14" s="1563"/>
      <c r="X14" s="1574"/>
      <c r="Y14" s="1563"/>
      <c r="Z14" s="1563"/>
      <c r="AA14" s="1922"/>
      <c r="AB14" s="1930"/>
      <c r="AC14" s="1931"/>
      <c r="AD14" s="1574"/>
      <c r="AE14" s="1563"/>
      <c r="AF14" s="2196"/>
      <c r="AG14" s="1563"/>
      <c r="AH14" s="1563"/>
      <c r="AI14" s="1574"/>
      <c r="AJ14" s="1563"/>
      <c r="AK14" s="1563"/>
      <c r="AL14" s="1922"/>
    </row>
    <row r="15" spans="2:38" ht="31.5" hidden="1" customHeight="1">
      <c r="B15" s="1928">
        <v>7</v>
      </c>
      <c r="C15" s="1929" t="s">
        <v>300</v>
      </c>
      <c r="D15" s="1774">
        <v>534186882</v>
      </c>
      <c r="E15" s="36">
        <v>9179080</v>
      </c>
      <c r="F15" s="2196">
        <v>0</v>
      </c>
      <c r="G15" s="1774">
        <v>543365962</v>
      </c>
      <c r="H15" s="2196"/>
      <c r="I15" s="2196"/>
      <c r="J15" s="1774">
        <v>-18275896</v>
      </c>
      <c r="K15" s="2196">
        <v>0</v>
      </c>
      <c r="L15" s="2196"/>
      <c r="M15" s="2196"/>
      <c r="N15" s="2196"/>
      <c r="O15" s="2196"/>
      <c r="P15" s="1922"/>
      <c r="Q15" s="1930"/>
      <c r="R15" s="390">
        <v>0</v>
      </c>
      <c r="S15" s="1574"/>
      <c r="T15" s="1563"/>
      <c r="U15" s="1563"/>
      <c r="V15" s="1563"/>
      <c r="W15" s="1563"/>
      <c r="X15" s="1574"/>
      <c r="Y15" s="1563"/>
      <c r="Z15" s="1563"/>
      <c r="AA15" s="1922"/>
      <c r="AB15" s="1930"/>
      <c r="AC15" s="1931"/>
      <c r="AD15" s="1574"/>
      <c r="AE15" s="1563"/>
      <c r="AF15" s="1563"/>
      <c r="AG15" s="1563"/>
      <c r="AH15" s="1563"/>
      <c r="AI15" s="1574"/>
      <c r="AJ15" s="1563"/>
      <c r="AK15" s="1563"/>
      <c r="AL15" s="1922"/>
    </row>
    <row r="16" spans="2:38" ht="31.5" hidden="1" customHeight="1">
      <c r="B16" s="1928">
        <v>8</v>
      </c>
      <c r="C16" s="1929" t="s">
        <v>1180</v>
      </c>
      <c r="D16" s="1774">
        <v>167180493</v>
      </c>
      <c r="E16" s="36">
        <v>6842853</v>
      </c>
      <c r="F16" s="2196">
        <v>0</v>
      </c>
      <c r="G16" s="1774">
        <v>174023346</v>
      </c>
      <c r="H16" s="2196"/>
      <c r="I16" s="2196"/>
      <c r="J16" s="1774">
        <v>8199012</v>
      </c>
      <c r="K16" s="2196">
        <v>0</v>
      </c>
      <c r="L16" s="2196"/>
      <c r="M16" s="2196"/>
      <c r="N16" s="2196"/>
      <c r="O16" s="2196"/>
      <c r="P16" s="1922"/>
      <c r="Q16" s="1930"/>
      <c r="R16" s="390">
        <v>83509</v>
      </c>
      <c r="S16" s="1574"/>
      <c r="T16" s="1563"/>
      <c r="U16" s="1563"/>
      <c r="V16" s="1563"/>
      <c r="W16" s="1563"/>
      <c r="X16" s="1574"/>
      <c r="Y16" s="1563"/>
      <c r="Z16" s="1563"/>
      <c r="AA16" s="1922"/>
      <c r="AB16" s="1930"/>
      <c r="AC16" s="1931"/>
      <c r="AD16" s="1574"/>
      <c r="AE16" s="1563"/>
      <c r="AF16" s="1563"/>
      <c r="AG16" s="1563"/>
      <c r="AH16" s="1563"/>
      <c r="AI16" s="1574"/>
      <c r="AJ16" s="1563"/>
      <c r="AK16" s="1563"/>
      <c r="AL16" s="1922"/>
    </row>
    <row r="17" spans="2:38" ht="31.5" hidden="1" customHeight="1">
      <c r="B17" s="1934">
        <v>9</v>
      </c>
      <c r="C17" s="1935" t="s">
        <v>1181</v>
      </c>
      <c r="D17" s="1774">
        <v>336105569</v>
      </c>
      <c r="E17" s="36">
        <v>47072322</v>
      </c>
      <c r="F17" s="2196">
        <v>0</v>
      </c>
      <c r="G17" s="1774">
        <v>383177891</v>
      </c>
      <c r="H17" s="2196"/>
      <c r="I17" s="2196"/>
      <c r="J17" s="1774">
        <v>21547256</v>
      </c>
      <c r="K17" s="2196">
        <v>0</v>
      </c>
      <c r="L17" s="2196"/>
      <c r="M17" s="2196"/>
      <c r="N17" s="2196"/>
      <c r="O17" s="2196"/>
      <c r="P17" s="1922"/>
      <c r="Q17" s="1930"/>
      <c r="R17" s="390">
        <v>0</v>
      </c>
      <c r="S17" s="1574"/>
      <c r="T17" s="1563"/>
      <c r="U17" s="1563"/>
      <c r="V17" s="1563"/>
      <c r="W17" s="390">
        <v>80271</v>
      </c>
      <c r="X17" s="1574"/>
      <c r="Y17" s="1563"/>
      <c r="Z17" s="1563"/>
      <c r="AA17" s="1922"/>
      <c r="AB17" s="1930"/>
      <c r="AC17" s="1931"/>
      <c r="AD17" s="1574"/>
      <c r="AE17" s="1563"/>
      <c r="AF17" s="1563"/>
      <c r="AG17" s="1563"/>
      <c r="AH17" s="1563"/>
      <c r="AI17" s="1574"/>
      <c r="AJ17" s="1563"/>
      <c r="AK17" s="1563"/>
      <c r="AL17" s="1922"/>
    </row>
    <row r="18" spans="2:38" ht="31.5" hidden="1" customHeight="1" thickBot="1">
      <c r="B18" s="1786">
        <v>10</v>
      </c>
      <c r="C18" s="1936" t="s">
        <v>1182</v>
      </c>
      <c r="D18" s="396">
        <f>SUM(D9:D17)</f>
        <v>184049674161</v>
      </c>
      <c r="E18" s="396">
        <f>SUM(E9:E17)</f>
        <v>20099438474</v>
      </c>
      <c r="F18" s="396">
        <f>SUM(F9:F17)</f>
        <v>0</v>
      </c>
      <c r="G18" s="396">
        <f>SUM(G9:G17)</f>
        <v>204149112635</v>
      </c>
      <c r="H18" s="396">
        <f>SUM(H9:H17)</f>
        <v>0</v>
      </c>
      <c r="I18" s="396">
        <v>80826743456</v>
      </c>
      <c r="J18" s="396">
        <f>SUM(J9:J17)</f>
        <v>7912845258</v>
      </c>
      <c r="K18" s="396">
        <f>SUM(K9:K17)</f>
        <v>0</v>
      </c>
      <c r="L18" s="396">
        <v>88739588714</v>
      </c>
      <c r="M18" s="396"/>
      <c r="N18" s="396"/>
      <c r="O18" s="396">
        <v>103222930705</v>
      </c>
      <c r="P18" s="1937">
        <v>115409523921</v>
      </c>
      <c r="Q18" s="1938">
        <f>SUM(Q9:Q17)</f>
        <v>0</v>
      </c>
      <c r="R18" s="396">
        <f>SUM(R9:R17)</f>
        <v>-388399698</v>
      </c>
      <c r="S18" s="396"/>
      <c r="T18" s="396"/>
      <c r="U18" s="396"/>
      <c r="V18" s="396"/>
      <c r="W18" s="396">
        <f>SUM(W9:W17)</f>
        <v>80271</v>
      </c>
      <c r="X18" s="397"/>
      <c r="Y18" s="397"/>
      <c r="Z18" s="397"/>
      <c r="AA18" s="398"/>
      <c r="AB18" s="399"/>
      <c r="AC18" s="397"/>
      <c r="AD18" s="397"/>
      <c r="AE18" s="397"/>
      <c r="AF18" s="397"/>
      <c r="AG18" s="397"/>
      <c r="AH18" s="397"/>
      <c r="AI18" s="397"/>
      <c r="AJ18" s="397"/>
      <c r="AK18" s="397"/>
      <c r="AL18" s="398"/>
    </row>
    <row r="19" spans="2:38" ht="15" hidden="1" customHeight="1">
      <c r="B19" s="2" t="s">
        <v>1183</v>
      </c>
      <c r="C19" s="2" t="s">
        <v>1184</v>
      </c>
    </row>
    <row r="20" spans="2:38" ht="32.25" hidden="1" customHeight="1">
      <c r="C20" s="2504" t="s">
        <v>1185</v>
      </c>
      <c r="D20" s="2504"/>
      <c r="E20" s="2504"/>
      <c r="F20" s="2504"/>
      <c r="G20" s="2504"/>
      <c r="H20" s="2504"/>
      <c r="I20" s="2504"/>
      <c r="J20" s="2504"/>
      <c r="K20" s="2504"/>
      <c r="L20" s="2504"/>
      <c r="M20" s="2504"/>
      <c r="N20" s="2504"/>
      <c r="O20" s="2504"/>
      <c r="P20" s="2504"/>
    </row>
    <row r="21" spans="2:38" ht="15" hidden="1" customHeight="1">
      <c r="B21" s="2505" t="s">
        <v>1186</v>
      </c>
      <c r="C21" s="2505"/>
      <c r="D21" s="2505"/>
      <c r="E21" s="2505"/>
      <c r="F21" s="2505"/>
      <c r="G21" s="2505"/>
      <c r="H21" s="2505"/>
      <c r="I21" s="2505"/>
      <c r="J21" s="2505"/>
      <c r="K21" s="2505"/>
      <c r="L21" s="2505"/>
      <c r="M21" s="2505"/>
      <c r="N21" s="2505"/>
      <c r="O21" s="2505"/>
      <c r="P21" s="2505"/>
      <c r="Q21" s="2505"/>
      <c r="R21" s="2505"/>
    </row>
    <row r="22" spans="2:38" ht="15" hidden="1" customHeight="1">
      <c r="B22" s="1939"/>
      <c r="C22" s="1940"/>
      <c r="D22" s="1941"/>
      <c r="E22" s="1942"/>
      <c r="F22" s="1940"/>
      <c r="G22" s="1940"/>
      <c r="H22" s="1940"/>
      <c r="I22" s="1940"/>
      <c r="J22" s="1940"/>
      <c r="K22" s="1940"/>
      <c r="L22" s="1940"/>
      <c r="M22" s="1940"/>
      <c r="N22" s="1940"/>
      <c r="O22" s="1940"/>
      <c r="P22" s="1940"/>
      <c r="Q22" s="1940"/>
      <c r="R22" s="1940"/>
    </row>
    <row r="23" spans="2:38" ht="15" hidden="1" customHeight="1">
      <c r="B23" s="2512" t="s">
        <v>1187</v>
      </c>
      <c r="C23" s="2512"/>
      <c r="D23" s="2512"/>
      <c r="E23" s="2512"/>
      <c r="F23" s="2512"/>
      <c r="G23" s="2512"/>
      <c r="H23" s="2512"/>
      <c r="I23" s="2512"/>
      <c r="J23" s="2512"/>
      <c r="K23" s="2512"/>
      <c r="L23" s="2512"/>
      <c r="M23" s="2512"/>
      <c r="N23" s="2512"/>
      <c r="O23" s="2512"/>
      <c r="P23" s="2512"/>
      <c r="Q23" s="2512"/>
      <c r="R23" s="1915" t="s">
        <v>1188</v>
      </c>
    </row>
    <row r="24" spans="2:38" ht="15" hidden="1" customHeight="1" thickBot="1">
      <c r="B24" s="1943"/>
      <c r="C24" s="1940"/>
      <c r="D24" s="1941"/>
      <c r="E24" s="1940"/>
      <c r="F24" s="1940"/>
      <c r="G24" s="1940"/>
      <c r="H24" s="1940"/>
      <c r="I24" s="1940"/>
      <c r="J24" s="1940"/>
      <c r="K24" s="1940"/>
      <c r="L24" s="1940"/>
      <c r="M24" s="1940"/>
      <c r="N24" s="1940"/>
      <c r="O24" s="1940"/>
      <c r="P24" s="2503" t="s">
        <v>1189</v>
      </c>
      <c r="Q24" s="2503"/>
      <c r="R24" s="2503"/>
    </row>
    <row r="25" spans="2:38" ht="15" hidden="1" customHeight="1" thickBot="1">
      <c r="B25" s="1943"/>
      <c r="C25" s="1940"/>
      <c r="D25" s="2517" t="s">
        <v>1190</v>
      </c>
      <c r="E25" s="2518"/>
      <c r="F25" s="2518"/>
      <c r="G25" s="2518"/>
      <c r="H25" s="2519"/>
      <c r="I25" s="1940"/>
      <c r="J25" s="2520" t="s">
        <v>1191</v>
      </c>
      <c r="K25" s="2521"/>
      <c r="L25" s="2521"/>
      <c r="M25" s="2521"/>
      <c r="N25" s="2521"/>
      <c r="O25" s="2521"/>
      <c r="P25" s="2522"/>
      <c r="Q25" s="2515" t="s">
        <v>1192</v>
      </c>
      <c r="R25" s="2516"/>
    </row>
    <row r="26" spans="2:38" ht="15" hidden="1" customHeight="1" thickBot="1">
      <c r="B26" s="2523" t="str">
        <f>D28</f>
        <v>Prev. Yr. 08-09</v>
      </c>
      <c r="C26" s="2523"/>
      <c r="D26" s="1941"/>
      <c r="E26" s="1940"/>
      <c r="F26" s="1940"/>
      <c r="G26" s="1940"/>
      <c r="H26" s="1940"/>
      <c r="I26" s="1940"/>
      <c r="J26" s="1940"/>
      <c r="K26" s="32"/>
      <c r="L26" s="32"/>
      <c r="M26" s="32"/>
      <c r="N26" s="32"/>
      <c r="O26" s="32"/>
      <c r="P26" s="32"/>
      <c r="Q26" s="1940"/>
      <c r="R26" s="1940"/>
    </row>
    <row r="27" spans="2:38" ht="15" hidden="1" customHeight="1">
      <c r="B27" s="1944" t="s">
        <v>1193</v>
      </c>
      <c r="C27" s="1945" t="s">
        <v>1194</v>
      </c>
      <c r="D27" s="1944" t="s">
        <v>1195</v>
      </c>
      <c r="E27" s="1945" t="s">
        <v>397</v>
      </c>
      <c r="F27" s="1945" t="s">
        <v>1196</v>
      </c>
      <c r="G27" s="1945" t="s">
        <v>1197</v>
      </c>
      <c r="H27" s="1945" t="s">
        <v>1195</v>
      </c>
      <c r="I27" s="1944" t="s">
        <v>1193</v>
      </c>
      <c r="J27" s="1945" t="s">
        <v>1195</v>
      </c>
      <c r="K27" s="1945" t="s">
        <v>1198</v>
      </c>
      <c r="L27" s="1945" t="s">
        <v>1199</v>
      </c>
      <c r="M27" s="1945"/>
      <c r="N27" s="1945"/>
      <c r="O27" s="1945" t="s">
        <v>1200</v>
      </c>
      <c r="P27" s="1945" t="s">
        <v>1201</v>
      </c>
      <c r="Q27" s="1945" t="s">
        <v>1195</v>
      </c>
      <c r="R27" s="1945" t="s">
        <v>1195</v>
      </c>
    </row>
    <row r="28" spans="2:38" ht="15" hidden="1" customHeight="1" thickBot="1">
      <c r="B28" s="1946"/>
      <c r="C28" s="1947"/>
      <c r="D28" s="1946" t="s">
        <v>1202</v>
      </c>
      <c r="E28" s="1947">
        <v>0</v>
      </c>
      <c r="F28" s="1947">
        <v>0</v>
      </c>
      <c r="G28" s="1947">
        <v>0</v>
      </c>
      <c r="H28" s="1947">
        <v>0</v>
      </c>
      <c r="I28" s="1946"/>
      <c r="J28" s="1946">
        <v>0</v>
      </c>
      <c r="K28" s="1947">
        <v>0</v>
      </c>
      <c r="L28" s="1947">
        <v>0</v>
      </c>
      <c r="M28" s="1947"/>
      <c r="N28" s="1947"/>
      <c r="O28" s="1947">
        <v>0</v>
      </c>
      <c r="P28" s="1947">
        <v>0</v>
      </c>
      <c r="Q28" s="1947">
        <v>0</v>
      </c>
      <c r="R28" s="1947">
        <v>0</v>
      </c>
    </row>
    <row r="29" spans="2:38" ht="15" hidden="1" customHeight="1" thickBot="1">
      <c r="B29" s="1948">
        <v>1</v>
      </c>
      <c r="C29" s="1916" t="s">
        <v>1203</v>
      </c>
      <c r="D29" s="1949" t="s">
        <v>1204</v>
      </c>
      <c r="E29" s="1949" t="s">
        <v>1204</v>
      </c>
      <c r="F29" s="1949" t="s">
        <v>1204</v>
      </c>
      <c r="G29" s="1949" t="s">
        <v>1204</v>
      </c>
      <c r="H29" s="1949" t="s">
        <v>1204</v>
      </c>
      <c r="I29" s="1950">
        <v>1</v>
      </c>
      <c r="J29" s="1949" t="s">
        <v>1204</v>
      </c>
      <c r="K29" s="1949" t="s">
        <v>1204</v>
      </c>
      <c r="L29" s="1951" t="s">
        <v>1204</v>
      </c>
      <c r="M29" s="1949"/>
      <c r="N29" s="1949"/>
      <c r="O29" s="1949" t="s">
        <v>1204</v>
      </c>
      <c r="P29" s="1949" t="s">
        <v>1204</v>
      </c>
      <c r="Q29" s="1949" t="s">
        <v>1204</v>
      </c>
      <c r="R29" s="1952" t="s">
        <v>1204</v>
      </c>
    </row>
    <row r="30" spans="2:38" ht="15" hidden="1" customHeight="1">
      <c r="B30" s="1953" t="s">
        <v>1205</v>
      </c>
      <c r="C30" s="1954" t="s">
        <v>1206</v>
      </c>
      <c r="D30" s="1955">
        <v>43191900069</v>
      </c>
      <c r="E30" s="1956">
        <f>13598634014+45423201</f>
        <v>13644057215</v>
      </c>
      <c r="F30" s="1956"/>
      <c r="G30" s="1956"/>
      <c r="H30" s="1956">
        <f>D30+E30-F30-G30</f>
        <v>56835957284</v>
      </c>
      <c r="I30" s="1957" t="s">
        <v>1207</v>
      </c>
      <c r="J30" s="1958">
        <v>23290778745</v>
      </c>
      <c r="K30" s="1959">
        <v>2305146041</v>
      </c>
      <c r="L30" s="1960">
        <v>0</v>
      </c>
      <c r="M30" s="1960"/>
      <c r="N30" s="1960"/>
      <c r="O30" s="1959"/>
      <c r="P30" s="1961">
        <f>J30+K30-L30</f>
        <v>25595924786</v>
      </c>
      <c r="Q30" s="1956">
        <f>H30-P30</f>
        <v>31240032498</v>
      </c>
      <c r="R30" s="1962">
        <f>D30-J30</f>
        <v>19901121324</v>
      </c>
    </row>
    <row r="31" spans="2:38" ht="15" hidden="1" customHeight="1">
      <c r="B31" s="1963" t="s">
        <v>1208</v>
      </c>
      <c r="C31" s="121" t="s">
        <v>1209</v>
      </c>
      <c r="D31" s="1964">
        <v>59574388927</v>
      </c>
      <c r="E31" s="14">
        <f>278333285-27298</f>
        <v>278305987</v>
      </c>
      <c r="F31" s="14"/>
      <c r="G31" s="14"/>
      <c r="H31" s="14">
        <f>D31+E31-F31-G31</f>
        <v>59852694914</v>
      </c>
      <c r="I31" s="1965" t="s">
        <v>1210</v>
      </c>
      <c r="J31" s="1966">
        <v>15683700040</v>
      </c>
      <c r="K31" s="108">
        <v>1363298006</v>
      </c>
      <c r="L31" s="108">
        <v>12252401</v>
      </c>
      <c r="M31" s="108"/>
      <c r="N31" s="108"/>
      <c r="O31" s="108"/>
      <c r="P31" s="108">
        <f>J31+K31-L31</f>
        <v>17034745645</v>
      </c>
      <c r="Q31" s="14">
        <f>H31-P31</f>
        <v>42817949269</v>
      </c>
      <c r="R31" s="1967">
        <f>D31-J31</f>
        <v>43890688887</v>
      </c>
    </row>
    <row r="32" spans="2:38" ht="15" hidden="1" customHeight="1" thickBot="1">
      <c r="B32" s="1968" t="s">
        <v>1211</v>
      </c>
      <c r="C32" s="1969" t="s">
        <v>1212</v>
      </c>
      <c r="D32" s="1970">
        <v>26822284</v>
      </c>
      <c r="E32" s="1971">
        <v>0</v>
      </c>
      <c r="F32" s="1971"/>
      <c r="G32" s="1971"/>
      <c r="H32" s="1971">
        <f>D32+E32-F32-G32</f>
        <v>26822284</v>
      </c>
      <c r="I32" s="1972" t="s">
        <v>1213</v>
      </c>
      <c r="J32" s="1973">
        <v>24140056</v>
      </c>
      <c r="K32" s="136"/>
      <c r="L32" s="136">
        <v>0</v>
      </c>
      <c r="M32" s="136"/>
      <c r="N32" s="136"/>
      <c r="O32" s="136">
        <v>0</v>
      </c>
      <c r="P32" s="136">
        <f>J32+K32-L32</f>
        <v>24140056</v>
      </c>
      <c r="Q32" s="1971">
        <f>H32-P32</f>
        <v>2682228</v>
      </c>
      <c r="R32" s="1974">
        <f>D32-J32</f>
        <v>2682228</v>
      </c>
    </row>
    <row r="33" spans="2:18" ht="15" hidden="1" customHeight="1">
      <c r="B33" s="125"/>
      <c r="C33" s="121" t="s">
        <v>1214</v>
      </c>
      <c r="D33" s="1975">
        <f>D32+D31+D30</f>
        <v>102793111280</v>
      </c>
      <c r="E33" s="1976">
        <f>SUM(E30:E32)</f>
        <v>13922363202</v>
      </c>
      <c r="F33" s="1976">
        <f>SUM(F30:F32)</f>
        <v>0</v>
      </c>
      <c r="G33" s="1976">
        <f>SUM(G30:G32)</f>
        <v>0</v>
      </c>
      <c r="H33" s="1976">
        <f>SUM(H30:H32)</f>
        <v>116715474482</v>
      </c>
      <c r="I33" s="1977">
        <f>SUM(I30:I32)</f>
        <v>0</v>
      </c>
      <c r="J33" s="1977">
        <f>J32+J31+J30</f>
        <v>38998618841</v>
      </c>
      <c r="K33" s="1977">
        <f>SUM(K30:K32)</f>
        <v>3668444047</v>
      </c>
      <c r="L33" s="1977">
        <f>SUM(L30:L32)</f>
        <v>12252401</v>
      </c>
      <c r="M33" s="1977"/>
      <c r="N33" s="1977"/>
      <c r="O33" s="1977">
        <f>SUM(O30:O32)</f>
        <v>0</v>
      </c>
      <c r="P33" s="1978">
        <f>SUM(P30:P32)</f>
        <v>42654810487</v>
      </c>
      <c r="Q33" s="1976">
        <f>SUM(Q30:Q32)</f>
        <v>74060663995</v>
      </c>
      <c r="R33" s="1979">
        <f>SUM(R30:R32)</f>
        <v>63794492439</v>
      </c>
    </row>
    <row r="34" spans="2:18" ht="15" hidden="1" customHeight="1">
      <c r="B34" s="125">
        <v>2</v>
      </c>
      <c r="C34" s="1980" t="s">
        <v>302</v>
      </c>
      <c r="D34" s="1964">
        <v>20404647240</v>
      </c>
      <c r="E34" s="14">
        <v>763896465</v>
      </c>
      <c r="F34" s="14"/>
      <c r="G34" s="14"/>
      <c r="H34" s="14">
        <f>D34+E34-F34-G34</f>
        <v>21168543705</v>
      </c>
      <c r="I34" s="65">
        <v>2</v>
      </c>
      <c r="J34" s="1964">
        <v>11211008866</v>
      </c>
      <c r="K34" s="108">
        <v>1174319815</v>
      </c>
      <c r="L34" s="108">
        <v>28347429</v>
      </c>
      <c r="M34" s="1867"/>
      <c r="N34" s="1867"/>
      <c r="O34" s="32"/>
      <c r="P34" s="108">
        <f>J34+K34-L34</f>
        <v>12356981252</v>
      </c>
      <c r="Q34" s="14">
        <f>H34-P34</f>
        <v>8811562453</v>
      </c>
      <c r="R34" s="1967">
        <f>D34-J34</f>
        <v>9193638374</v>
      </c>
    </row>
    <row r="35" spans="2:18" ht="15" hidden="1" customHeight="1">
      <c r="B35" s="125">
        <v>3</v>
      </c>
      <c r="C35" s="1980" t="s">
        <v>1215</v>
      </c>
      <c r="D35" s="1964">
        <v>59752507432</v>
      </c>
      <c r="E35" s="14">
        <v>5458574710</v>
      </c>
      <c r="F35" s="14"/>
      <c r="G35" s="14"/>
      <c r="H35" s="14">
        <f>D35+E35-F35-G35</f>
        <v>65211082142</v>
      </c>
      <c r="I35" s="65">
        <v>3</v>
      </c>
      <c r="J35" s="1964">
        <v>29610696270</v>
      </c>
      <c r="K35" s="108">
        <v>3667119803</v>
      </c>
      <c r="L35" s="108">
        <v>573271719</v>
      </c>
      <c r="M35" s="1867"/>
      <c r="N35" s="1867"/>
      <c r="O35" s="32"/>
      <c r="P35" s="108">
        <f>J35+K35-L35</f>
        <v>32704544354</v>
      </c>
      <c r="Q35" s="14">
        <f>H35-P35</f>
        <v>32506537788</v>
      </c>
      <c r="R35" s="1967">
        <f>D35-J35</f>
        <v>30141811162</v>
      </c>
    </row>
    <row r="36" spans="2:18" ht="15" hidden="1" customHeight="1">
      <c r="B36" s="125">
        <v>4</v>
      </c>
      <c r="C36" s="1980" t="s">
        <v>1216</v>
      </c>
      <c r="D36" s="1964">
        <v>1367389602</v>
      </c>
      <c r="E36" s="14">
        <v>0</v>
      </c>
      <c r="F36" s="14"/>
      <c r="G36" s="14"/>
      <c r="H36" s="14">
        <f>D36+E36-F36-G36</f>
        <v>1367389602</v>
      </c>
      <c r="I36" s="65">
        <v>4</v>
      </c>
      <c r="J36" s="1964">
        <v>1103926845</v>
      </c>
      <c r="K36" s="108">
        <v>18289438</v>
      </c>
      <c r="L36" s="108">
        <v>0</v>
      </c>
      <c r="M36" s="1867"/>
      <c r="N36" s="1867"/>
      <c r="O36" s="32"/>
      <c r="P36" s="108">
        <f>J36+K36-L36</f>
        <v>1122216283</v>
      </c>
      <c r="Q36" s="14">
        <f>H36-P36</f>
        <v>245173319</v>
      </c>
      <c r="R36" s="1967">
        <f>D36-J36</f>
        <v>263462757</v>
      </c>
    </row>
    <row r="37" spans="2:18" ht="15" hidden="1" customHeight="1" thickBot="1">
      <c r="B37" s="128"/>
      <c r="C37" s="108"/>
      <c r="D37" s="1972"/>
      <c r="E37" s="1971"/>
      <c r="F37" s="1971"/>
      <c r="G37" s="1971"/>
      <c r="H37" s="1971"/>
      <c r="I37" s="136"/>
      <c r="J37" s="1981"/>
      <c r="K37" s="136"/>
      <c r="L37" s="136"/>
      <c r="M37" s="136"/>
      <c r="N37" s="136"/>
      <c r="O37" s="136"/>
      <c r="P37" s="1982"/>
      <c r="Q37" s="14"/>
      <c r="R37" s="1967"/>
    </row>
    <row r="38" spans="2:18" ht="15" hidden="1" customHeight="1" thickBot="1">
      <c r="B38" s="1983"/>
      <c r="C38" s="1984" t="s">
        <v>354</v>
      </c>
      <c r="D38" s="1985">
        <f t="shared" ref="D38:L38" si="0">SUM(D33:D37)</f>
        <v>184317655554</v>
      </c>
      <c r="E38" s="1985">
        <f t="shared" si="0"/>
        <v>20144834377</v>
      </c>
      <c r="F38" s="1985">
        <f t="shared" si="0"/>
        <v>0</v>
      </c>
      <c r="G38" s="1985">
        <f t="shared" si="0"/>
        <v>0</v>
      </c>
      <c r="H38" s="1985">
        <f t="shared" si="0"/>
        <v>204462489931</v>
      </c>
      <c r="I38" s="1986">
        <f t="shared" si="0"/>
        <v>9</v>
      </c>
      <c r="J38" s="1986">
        <f t="shared" si="0"/>
        <v>80924250822</v>
      </c>
      <c r="K38" s="1986">
        <f t="shared" si="0"/>
        <v>8528173103</v>
      </c>
      <c r="L38" s="1986">
        <f t="shared" si="0"/>
        <v>613871549</v>
      </c>
      <c r="M38" s="1986"/>
      <c r="N38" s="1986"/>
      <c r="O38" s="1986">
        <f>SUM(O33:O37)</f>
        <v>0</v>
      </c>
      <c r="P38" s="1986">
        <f>SUM(P33:P37)</f>
        <v>88838552376</v>
      </c>
      <c r="Q38" s="1987">
        <f>SUM(Q33:Q37)</f>
        <v>115623937555</v>
      </c>
      <c r="R38" s="1988">
        <f>SUM(R33:R37)</f>
        <v>103393404732</v>
      </c>
    </row>
    <row r="39" spans="2:18" ht="15" hidden="1" customHeight="1" thickBot="1">
      <c r="B39" s="1989"/>
      <c r="C39" s="1867"/>
      <c r="D39" s="1990"/>
      <c r="E39" s="12"/>
      <c r="F39" s="12"/>
      <c r="G39" s="12"/>
      <c r="H39" s="12"/>
      <c r="I39" s="1867"/>
      <c r="J39" s="1867"/>
      <c r="K39" s="1867"/>
      <c r="L39" s="1867"/>
      <c r="M39" s="1867"/>
      <c r="N39" s="1867"/>
      <c r="O39" s="1867"/>
      <c r="P39" s="1867"/>
      <c r="Q39" s="12"/>
      <c r="R39" s="1991"/>
    </row>
    <row r="40" spans="2:18" ht="18.75" hidden="1" customHeight="1" thickBot="1">
      <c r="B40" s="1992"/>
      <c r="C40" s="1993" t="s">
        <v>1217</v>
      </c>
      <c r="D40" s="1994">
        <v>164207366991</v>
      </c>
      <c r="E40" s="1994">
        <v>20110288563</v>
      </c>
      <c r="F40" s="1994">
        <v>0</v>
      </c>
      <c r="G40" s="1994">
        <v>0</v>
      </c>
      <c r="H40" s="1995">
        <f>D40+E40-F40-G40</f>
        <v>184317655554</v>
      </c>
      <c r="I40" s="1996"/>
      <c r="J40" s="1994">
        <v>74143295029</v>
      </c>
      <c r="K40" s="1994">
        <v>7255747753</v>
      </c>
      <c r="L40" s="1994">
        <v>474791960</v>
      </c>
      <c r="M40" s="1994"/>
      <c r="N40" s="1994"/>
      <c r="O40" s="1994">
        <v>0</v>
      </c>
      <c r="P40" s="1994">
        <f>J40+K40-L40</f>
        <v>80924250822</v>
      </c>
      <c r="Q40" s="1994">
        <f>H40-P40</f>
        <v>103393404732</v>
      </c>
      <c r="R40" s="1997">
        <f>D40-J40</f>
        <v>90064071962</v>
      </c>
    </row>
    <row r="41" spans="2:18" ht="18.75" customHeight="1">
      <c r="B41" s="1867"/>
      <c r="C41" s="2193"/>
      <c r="D41" s="1868"/>
      <c r="E41" s="1868"/>
      <c r="F41" s="1868"/>
      <c r="G41" s="1868"/>
      <c r="H41" s="1869"/>
      <c r="I41" s="1870"/>
      <c r="J41" s="1868"/>
      <c r="K41" s="1868"/>
      <c r="L41" s="1868"/>
      <c r="M41" s="1868"/>
      <c r="N41" s="1868"/>
      <c r="O41" s="1868"/>
      <c r="P41" s="1868"/>
      <c r="Q41" s="1868"/>
      <c r="R41" s="1998"/>
    </row>
    <row r="42" spans="2:18" ht="18.75" customHeight="1">
      <c r="B42" s="2418" t="s">
        <v>2549</v>
      </c>
      <c r="C42" s="2418"/>
      <c r="D42" s="2418"/>
      <c r="E42" s="2418"/>
      <c r="F42" s="2418"/>
      <c r="G42" s="2418"/>
      <c r="H42" s="2418"/>
      <c r="I42" s="2418"/>
      <c r="J42" s="2418"/>
      <c r="K42" s="2418"/>
      <c r="L42" s="2418"/>
      <c r="M42" s="2418"/>
      <c r="N42" s="2418"/>
      <c r="O42" s="2418"/>
      <c r="P42" s="1868"/>
      <c r="Q42" s="1868"/>
      <c r="R42" s="1998"/>
    </row>
    <row r="43" spans="2:18" ht="18.75" customHeight="1">
      <c r="B43" s="2419" t="s">
        <v>2689</v>
      </c>
      <c r="C43" s="2419"/>
      <c r="D43" s="2419"/>
      <c r="E43" s="2419"/>
      <c r="F43" s="2419"/>
      <c r="G43" s="2419"/>
      <c r="H43" s="2419"/>
      <c r="I43" s="2419"/>
      <c r="J43" s="2419"/>
      <c r="K43" s="2419"/>
      <c r="L43" s="2419"/>
      <c r="M43" s="2419"/>
      <c r="N43" s="2419"/>
      <c r="O43" s="2419"/>
    </row>
    <row r="44" spans="2:18" ht="15" customHeight="1">
      <c r="N44" s="2444" t="s">
        <v>2800</v>
      </c>
      <c r="O44" s="2444"/>
    </row>
    <row r="45" spans="2:18" ht="15" customHeight="1">
      <c r="B45" s="2435" t="s">
        <v>2577</v>
      </c>
      <c r="C45" s="2435"/>
      <c r="D45" s="2435"/>
      <c r="E45" s="2435"/>
      <c r="F45" s="2435"/>
      <c r="G45" s="2435"/>
      <c r="H45" s="2435"/>
      <c r="I45" s="2435"/>
      <c r="J45" s="2435"/>
      <c r="K45" s="2435"/>
      <c r="L45" s="2435"/>
      <c r="M45" s="2435"/>
      <c r="N45" s="2435"/>
      <c r="O45" s="2435"/>
    </row>
    <row r="46" spans="2:18" ht="18.75" customHeight="1">
      <c r="B46" s="2419" t="s">
        <v>384</v>
      </c>
      <c r="C46" s="2419"/>
      <c r="D46" s="2419"/>
      <c r="E46" s="2419"/>
      <c r="F46" s="2419"/>
      <c r="G46" s="2419"/>
      <c r="H46" s="2419"/>
      <c r="I46" s="2419"/>
      <c r="J46" s="2419"/>
      <c r="K46" s="2419"/>
      <c r="L46" s="2419"/>
      <c r="M46" s="2419"/>
      <c r="N46" s="2419"/>
      <c r="O46" s="2419"/>
    </row>
    <row r="47" spans="2:18" ht="15" customHeight="1" thickBot="1">
      <c r="O47" s="2202" t="s">
        <v>97</v>
      </c>
    </row>
    <row r="48" spans="2:18" ht="33" customHeight="1">
      <c r="B48" s="2448" t="s">
        <v>349</v>
      </c>
      <c r="C48" s="2450" t="s">
        <v>331</v>
      </c>
      <c r="D48" s="2450" t="s">
        <v>1034</v>
      </c>
      <c r="E48" s="2450"/>
      <c r="F48" s="2450"/>
      <c r="G48" s="2450"/>
      <c r="H48" s="2524" t="s">
        <v>2591</v>
      </c>
      <c r="I48" s="2525"/>
      <c r="J48" s="2525"/>
      <c r="K48" s="2525"/>
      <c r="L48" s="2525"/>
      <c r="M48" s="2526"/>
      <c r="N48" s="2469" t="s">
        <v>2592</v>
      </c>
      <c r="O48" s="2527"/>
    </row>
    <row r="49" spans="2:16" ht="33" customHeight="1">
      <c r="B49" s="2449"/>
      <c r="C49" s="2451"/>
      <c r="D49" s="2192" t="s">
        <v>1228</v>
      </c>
      <c r="E49" s="2192" t="s">
        <v>1036</v>
      </c>
      <c r="F49" s="2189" t="s">
        <v>1038</v>
      </c>
      <c r="G49" s="2192" t="s">
        <v>1037</v>
      </c>
      <c r="H49" s="2189" t="s">
        <v>1228</v>
      </c>
      <c r="I49" s="2192" t="s">
        <v>1036</v>
      </c>
      <c r="J49" s="2192" t="s">
        <v>1229</v>
      </c>
      <c r="K49" s="2192" t="s">
        <v>1230</v>
      </c>
      <c r="L49" s="2189" t="s">
        <v>2567</v>
      </c>
      <c r="M49" s="2189" t="s">
        <v>2766</v>
      </c>
      <c r="N49" s="2141" t="s">
        <v>1040</v>
      </c>
      <c r="O49" s="2141" t="s">
        <v>2764</v>
      </c>
    </row>
    <row r="50" spans="2:16" ht="15.75" customHeight="1">
      <c r="B50" s="2191"/>
      <c r="C50" s="2192" t="s">
        <v>2553</v>
      </c>
      <c r="D50" s="2189">
        <v>1</v>
      </c>
      <c r="E50" s="2189">
        <v>1</v>
      </c>
      <c r="F50" s="2189">
        <v>3</v>
      </c>
      <c r="G50" s="2189">
        <v>2</v>
      </c>
      <c r="H50" s="2189">
        <v>3</v>
      </c>
      <c r="I50" s="2189">
        <v>1</v>
      </c>
      <c r="J50" s="2189">
        <v>7</v>
      </c>
      <c r="K50" s="2189">
        <v>8</v>
      </c>
      <c r="L50" s="2189">
        <v>2</v>
      </c>
      <c r="M50" s="2173"/>
      <c r="N50" s="2173"/>
      <c r="O50" s="2141">
        <v>3</v>
      </c>
    </row>
    <row r="51" spans="2:16" ht="20.25" customHeight="1">
      <c r="B51" s="127">
        <v>1</v>
      </c>
      <c r="C51" s="293" t="s">
        <v>384</v>
      </c>
      <c r="D51" s="1574" t="e">
        <f>#REF!</f>
        <v>#REF!</v>
      </c>
      <c r="E51" s="36">
        <v>101.63</v>
      </c>
      <c r="F51" s="1453">
        <f>'[2]Schedules of Accounts'!D102/10^7</f>
        <v>72.682103600000005</v>
      </c>
      <c r="G51" s="1453">
        <f>(G52+G55)/2*G57</f>
        <v>123.00296856867668</v>
      </c>
      <c r="H51" s="1453" t="e">
        <f>#REF!</f>
        <v>#REF!</v>
      </c>
      <c r="I51" s="1453">
        <v>147.9</v>
      </c>
      <c r="J51" s="1453">
        <f>(J52+J55)/2*J57</f>
        <v>131.05980913735334</v>
      </c>
      <c r="K51" s="1453"/>
      <c r="L51" s="1453">
        <f>(L52+L55)/2*L57</f>
        <v>188.60317297624681</v>
      </c>
      <c r="M51" s="2174">
        <v>160.71</v>
      </c>
      <c r="N51" s="2174">
        <v>267.494464691931</v>
      </c>
      <c r="O51" s="1565">
        <v>239.59</v>
      </c>
    </row>
    <row r="52" spans="2:16" ht="21" customHeight="1">
      <c r="B52" s="127">
        <v>2</v>
      </c>
      <c r="C52" s="293" t="s">
        <v>158</v>
      </c>
      <c r="D52" s="1574" t="e">
        <f>#REF!</f>
        <v>#REF!</v>
      </c>
      <c r="E52" s="2196">
        <v>2112.92</v>
      </c>
      <c r="F52" s="1453">
        <f>'[2]Schedules of Accounts'!D97/10^7</f>
        <v>3894.5288387999999</v>
      </c>
      <c r="G52" s="1453">
        <v>2116.85</v>
      </c>
      <c r="H52" s="1453" t="e">
        <f>#REF!</f>
        <v>#REF!</v>
      </c>
      <c r="I52" s="1453">
        <v>2801.05</v>
      </c>
      <c r="J52" s="1453">
        <f>G55</f>
        <v>2542.3533548741166</v>
      </c>
      <c r="K52" s="1453"/>
      <c r="L52" s="1453">
        <f>I52</f>
        <v>2801.05</v>
      </c>
      <c r="M52" s="2174">
        <v>2272.6799999999998</v>
      </c>
      <c r="N52" s="2174">
        <v>4343.0095824335913</v>
      </c>
      <c r="O52" s="1565">
        <v>3814.65</v>
      </c>
    </row>
    <row r="53" spans="2:16" ht="20.25" customHeight="1">
      <c r="B53" s="127">
        <v>3</v>
      </c>
      <c r="C53" s="20" t="s">
        <v>1232</v>
      </c>
      <c r="D53" s="1574" t="e">
        <f>#REF!</f>
        <v>#REF!</v>
      </c>
      <c r="E53" s="2196">
        <v>400</v>
      </c>
      <c r="F53" s="2196">
        <f>'[2]Schedules of Accounts'!D98/10^7</f>
        <v>306.68007829999999</v>
      </c>
      <c r="G53" s="1774">
        <f>'[2]Capex Summary sheet'!D18</f>
        <v>425.50335487411678</v>
      </c>
      <c r="H53" s="2196" t="e">
        <f>#REF!</f>
        <v>#REF!</v>
      </c>
      <c r="I53" s="2196">
        <v>1673.87</v>
      </c>
      <c r="J53" s="2196">
        <f>'[2]F9_data_A &amp; R'!M56</f>
        <v>-120.32000000000001</v>
      </c>
      <c r="K53" s="2196"/>
      <c r="L53" s="2196">
        <f>INDEX(Capitalisation,3)</f>
        <v>1541.9595824335906</v>
      </c>
      <c r="M53" s="2220">
        <v>1541.97</v>
      </c>
      <c r="N53" s="2220">
        <v>1446.3469219483711</v>
      </c>
      <c r="O53" s="1567">
        <v>1446.35</v>
      </c>
    </row>
    <row r="54" spans="2:16" ht="21" customHeight="1">
      <c r="B54" s="127">
        <v>4</v>
      </c>
      <c r="C54" s="20" t="s">
        <v>1443</v>
      </c>
      <c r="D54" s="1574">
        <v>0</v>
      </c>
      <c r="E54" s="2196">
        <v>0</v>
      </c>
      <c r="F54" s="2196">
        <f>'[2]F9_data_A &amp; R'!F56</f>
        <v>0</v>
      </c>
      <c r="G54" s="2196">
        <f>F54</f>
        <v>0</v>
      </c>
      <c r="H54" s="2196">
        <v>0</v>
      </c>
      <c r="I54" s="2196">
        <v>0</v>
      </c>
      <c r="J54" s="1453">
        <f>'[2]F9_data_A &amp; R'!N56</f>
        <v>0</v>
      </c>
      <c r="K54" s="1453"/>
      <c r="L54" s="2196">
        <v>0</v>
      </c>
      <c r="M54" s="2220">
        <v>0</v>
      </c>
      <c r="N54" s="2220">
        <v>0</v>
      </c>
      <c r="O54" s="1567">
        <v>0</v>
      </c>
    </row>
    <row r="55" spans="2:16" ht="21.75" customHeight="1">
      <c r="B55" s="127">
        <v>5</v>
      </c>
      <c r="C55" s="20" t="s">
        <v>1221</v>
      </c>
      <c r="D55" s="1574" t="e">
        <f>D52+D53</f>
        <v>#REF!</v>
      </c>
      <c r="E55" s="2196">
        <f>E52+E53</f>
        <v>2512.92</v>
      </c>
      <c r="F55" s="1453">
        <f>F52+F53-F54</f>
        <v>4201.2089170999998</v>
      </c>
      <c r="G55" s="1453">
        <f>G52+G53-G54</f>
        <v>2542.3533548741166</v>
      </c>
      <c r="H55" s="1453" t="e">
        <f>H52+H53</f>
        <v>#REF!</v>
      </c>
      <c r="I55" s="1453">
        <f>I52+I53</f>
        <v>4474.92</v>
      </c>
      <c r="J55" s="1453">
        <f>J52+J53-J54</f>
        <v>2422.0333548741164</v>
      </c>
      <c r="K55" s="1453"/>
      <c r="L55" s="1453">
        <f>L52+L53-L54</f>
        <v>4343.0095824335913</v>
      </c>
      <c r="M55" s="2174">
        <f>M52+M53</f>
        <v>3814.6499999999996</v>
      </c>
      <c r="N55" s="2174">
        <v>5789.3565043819626</v>
      </c>
      <c r="O55" s="1567">
        <v>5261</v>
      </c>
      <c r="P55" s="1122"/>
    </row>
    <row r="56" spans="2:16" ht="34.5" hidden="1" customHeight="1">
      <c r="B56" s="127">
        <v>6</v>
      </c>
      <c r="C56" s="20" t="s">
        <v>1227</v>
      </c>
      <c r="D56" s="1775" t="e">
        <f t="shared" ref="D56:J56" si="1">D51/D52</f>
        <v>#REF!</v>
      </c>
      <c r="E56" s="1464">
        <f t="shared" si="1"/>
        <v>4.8099312799348766E-2</v>
      </c>
      <c r="F56" s="1464">
        <f t="shared" si="1"/>
        <v>1.8662617895107217E-2</v>
      </c>
      <c r="G56" s="1776">
        <f t="shared" si="1"/>
        <v>5.8106605838239213E-2</v>
      </c>
      <c r="H56" s="1464" t="e">
        <f t="shared" si="1"/>
        <v>#REF!</v>
      </c>
      <c r="I56" s="1475">
        <f t="shared" si="1"/>
        <v>5.2801627960943218E-2</v>
      </c>
      <c r="J56" s="2196">
        <f t="shared" si="1"/>
        <v>5.1550587523992199E-2</v>
      </c>
      <c r="K56" s="1453"/>
      <c r="L56" s="2196">
        <f>G56</f>
        <v>5.8106605838239213E-2</v>
      </c>
      <c r="M56" s="2220"/>
      <c r="N56" s="2220">
        <v>6.1591958206557988E-2</v>
      </c>
      <c r="O56" s="1567"/>
    </row>
    <row r="57" spans="2:16" ht="16.5" thickBot="1">
      <c r="B57" s="1777">
        <v>6</v>
      </c>
      <c r="C57" s="1778" t="s">
        <v>1233</v>
      </c>
      <c r="D57" s="1779" t="e">
        <f>D51/((D52+D55)/2)</f>
        <v>#REF!</v>
      </c>
      <c r="E57" s="1584">
        <f>E51/((E52+E55)/2)</f>
        <v>4.3940127630873523E-2</v>
      </c>
      <c r="F57" s="1584">
        <f>F51/((F52+F55)/2)</f>
        <v>1.7955646734488368E-2</v>
      </c>
      <c r="G57" s="1780">
        <v>5.28E-2</v>
      </c>
      <c r="H57" s="1584" t="e">
        <f>H51/((H52+H55)/2)</f>
        <v>#REF!</v>
      </c>
      <c r="I57" s="1584">
        <f>L57</f>
        <v>5.28E-2</v>
      </c>
      <c r="J57" s="2130">
        <f>G57</f>
        <v>5.28E-2</v>
      </c>
      <c r="K57" s="2130"/>
      <c r="L57" s="1584">
        <f>G57</f>
        <v>5.28E-2</v>
      </c>
      <c r="M57" s="1584">
        <v>5.28E-2</v>
      </c>
      <c r="N57" s="2219">
        <v>5.28E-2</v>
      </c>
      <c r="O57" s="1584">
        <v>5.28E-2</v>
      </c>
      <c r="P57" s="2218"/>
    </row>
    <row r="59" spans="2:16" ht="15" hidden="1" customHeight="1">
      <c r="B59" s="2" t="s">
        <v>1234</v>
      </c>
    </row>
    <row r="60" spans="2:16" ht="15" hidden="1" customHeight="1">
      <c r="B60" s="2" t="s">
        <v>1235</v>
      </c>
    </row>
    <row r="61" spans="2:16" ht="15" hidden="1" customHeight="1">
      <c r="B61" s="2" t="s">
        <v>1442</v>
      </c>
    </row>
    <row r="63" spans="2:16" ht="15" customHeight="1">
      <c r="L63" s="1122"/>
      <c r="M63" s="1122"/>
      <c r="N63" s="1122"/>
      <c r="O63" s="1122"/>
    </row>
  </sheetData>
  <sheetProtection selectLockedCells="1" selectUnlockedCells="1"/>
  <mergeCells count="39">
    <mergeCell ref="Q25:R25"/>
    <mergeCell ref="D25:H25"/>
    <mergeCell ref="J25:P25"/>
    <mergeCell ref="B48:B49"/>
    <mergeCell ref="C48:C49"/>
    <mergeCell ref="D48:G48"/>
    <mergeCell ref="B26:C26"/>
    <mergeCell ref="B42:O42"/>
    <mergeCell ref="B43:O43"/>
    <mergeCell ref="B45:O45"/>
    <mergeCell ref="B46:O46"/>
    <mergeCell ref="H48:M48"/>
    <mergeCell ref="N48:O48"/>
    <mergeCell ref="N44:O44"/>
    <mergeCell ref="P24:R24"/>
    <mergeCell ref="C20:P20"/>
    <mergeCell ref="B21:R21"/>
    <mergeCell ref="Q7:T7"/>
    <mergeCell ref="Z7:AA7"/>
    <mergeCell ref="C5:C8"/>
    <mergeCell ref="D5:P5"/>
    <mergeCell ref="D7:G7"/>
    <mergeCell ref="H7:L7"/>
    <mergeCell ref="O7:P7"/>
    <mergeCell ref="Q5:AA5"/>
    <mergeCell ref="B23:Q23"/>
    <mergeCell ref="D6:P6"/>
    <mergeCell ref="Q6:AA6"/>
    <mergeCell ref="AB6:AL6"/>
    <mergeCell ref="O1:P1"/>
    <mergeCell ref="B2:P2"/>
    <mergeCell ref="B3:P3"/>
    <mergeCell ref="B4:P4"/>
    <mergeCell ref="B5:B8"/>
    <mergeCell ref="AK7:AL7"/>
    <mergeCell ref="U7:Y7"/>
    <mergeCell ref="AB7:AE7"/>
    <mergeCell ref="AF7:AJ7"/>
    <mergeCell ref="AB5:AL5"/>
  </mergeCells>
  <conditionalFormatting sqref="D9:AL17">
    <cfRule type="cellIs" dxfId="2" priority="1" stopIfTrue="1" operator="lessThan">
      <formula>0</formula>
    </cfRule>
  </conditionalFormatting>
  <dataValidations count="2">
    <dataValidation allowBlank="1" showInputMessage="1" showErrorMessage="1" errorTitle="Error" error="enterDate, No Text please" sqref="E30"/>
    <dataValidation type="custom" allowBlank="1" showInputMessage="1" showErrorMessage="1" sqref="H38">
      <formula1>SUM(H33:H38)</formula1>
    </dataValidation>
  </dataValidations>
  <printOptions horizontalCentered="1"/>
  <pageMargins left="0.7" right="0.7" top="0.75" bottom="0.75" header="0.3" footer="0.3"/>
  <pageSetup paperSize="9" firstPageNumber="7" orientation="landscape" useFirstPageNumber="1" r:id="rId1"/>
  <headerFooter>
    <oddFooter>&amp;R&amp;P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J63"/>
  <sheetViews>
    <sheetView view="pageBreakPreview" topLeftCell="A41" zoomScale="69" zoomScaleSheetLayoutView="69" workbookViewId="0">
      <selection activeCell="L51" sqref="L51"/>
    </sheetView>
  </sheetViews>
  <sheetFormatPr defaultRowHeight="15" customHeight="1"/>
  <cols>
    <col min="1" max="1" width="5.140625" style="2" customWidth="1"/>
    <col min="2" max="2" width="8.7109375" style="2" customWidth="1"/>
    <col min="3" max="3" width="48.28515625" style="2" customWidth="1"/>
    <col min="4" max="4" width="19.5703125" style="6" customWidth="1"/>
    <col min="5" max="5" width="14.42578125" style="6" customWidth="1"/>
    <col min="6" max="6" width="14" style="6" customWidth="1"/>
    <col min="7" max="7" width="21" style="6" customWidth="1"/>
    <col min="8" max="8" width="13.5703125" style="6" customWidth="1"/>
    <col min="9" max="9" width="17.7109375" style="6" customWidth="1"/>
    <col min="10" max="10" width="14.42578125" style="6" hidden="1" customWidth="1"/>
    <col min="11" max="11" width="15.28515625" style="6" hidden="1" customWidth="1"/>
    <col min="12" max="12" width="21.85546875" style="6" customWidth="1"/>
    <col min="13" max="13" width="30.7109375" style="6" bestFit="1" customWidth="1"/>
    <col min="14" max="14" width="14.85546875" style="6" bestFit="1" customWidth="1"/>
    <col min="15" max="15" width="23.85546875" style="2" customWidth="1"/>
    <col min="16" max="16" width="15.7109375" style="2" bestFit="1" customWidth="1"/>
    <col min="17" max="17" width="12.7109375" style="2" customWidth="1"/>
    <col min="18" max="18" width="9.140625" style="2"/>
    <col min="19" max="19" width="15.85546875" style="2" customWidth="1"/>
    <col min="20" max="20" width="13.7109375" style="2" customWidth="1"/>
    <col min="21" max="21" width="9.140625" style="2"/>
    <col min="22" max="22" width="14" style="2" customWidth="1"/>
    <col min="23" max="23" width="13.85546875" style="2" customWidth="1"/>
    <col min="24" max="24" width="17.42578125" style="2" customWidth="1"/>
    <col min="25" max="25" width="13" style="2" customWidth="1"/>
    <col min="26" max="26" width="9.140625" style="2"/>
    <col min="27" max="27" width="16.42578125" style="2" customWidth="1"/>
    <col min="28" max="16384" width="9.140625" style="2"/>
  </cols>
  <sheetData>
    <row r="1" spans="2:36" ht="15" hidden="1" customHeight="1">
      <c r="M1" s="2487" t="s">
        <v>1160</v>
      </c>
      <c r="N1" s="2487"/>
    </row>
    <row r="2" spans="2:36" s="8" customFormat="1" ht="23.25" hidden="1" customHeight="1">
      <c r="B2" s="2488" t="s">
        <v>297</v>
      </c>
      <c r="C2" s="2488"/>
      <c r="D2" s="2488"/>
      <c r="E2" s="2488"/>
      <c r="F2" s="2488"/>
      <c r="G2" s="2488"/>
      <c r="H2" s="2488"/>
      <c r="I2" s="2488"/>
      <c r="J2" s="2488"/>
      <c r="K2" s="2488"/>
      <c r="L2" s="2488"/>
      <c r="M2" s="2488"/>
      <c r="N2" s="2488"/>
    </row>
    <row r="3" spans="2:36" s="8" customFormat="1" ht="20.25" hidden="1" customHeight="1">
      <c r="B3" s="2488" t="s">
        <v>298</v>
      </c>
      <c r="C3" s="2488"/>
      <c r="D3" s="2488"/>
      <c r="E3" s="2488"/>
      <c r="F3" s="2488"/>
      <c r="G3" s="2488"/>
      <c r="H3" s="2488"/>
      <c r="I3" s="2488"/>
      <c r="J3" s="2488"/>
      <c r="K3" s="2488"/>
      <c r="L3" s="2488"/>
      <c r="M3" s="2488"/>
      <c r="N3" s="2488"/>
    </row>
    <row r="4" spans="2:36" ht="20.25" hidden="1" customHeight="1" thickBot="1">
      <c r="B4" s="2489" t="s">
        <v>299</v>
      </c>
      <c r="C4" s="2489"/>
      <c r="D4" s="2489"/>
      <c r="E4" s="2489"/>
      <c r="F4" s="2489"/>
      <c r="G4" s="2489"/>
      <c r="H4" s="2489"/>
      <c r="I4" s="2489"/>
      <c r="J4" s="2489"/>
      <c r="K4" s="2489"/>
      <c r="L4" s="2489"/>
      <c r="M4" s="2489"/>
      <c r="N4" s="2489"/>
    </row>
    <row r="5" spans="2:36" s="8" customFormat="1" ht="15" hidden="1" customHeight="1">
      <c r="B5" s="2490" t="s">
        <v>349</v>
      </c>
      <c r="C5" s="2506" t="s">
        <v>331</v>
      </c>
      <c r="D5" s="2508" t="s">
        <v>1161</v>
      </c>
      <c r="E5" s="2508"/>
      <c r="F5" s="2508"/>
      <c r="G5" s="2508"/>
      <c r="H5" s="2508"/>
      <c r="I5" s="2508"/>
      <c r="J5" s="2508"/>
      <c r="K5" s="2508"/>
      <c r="L5" s="2508"/>
      <c r="M5" s="2508"/>
      <c r="N5" s="2509"/>
      <c r="O5" s="2500" t="s">
        <v>1162</v>
      </c>
      <c r="P5" s="2501"/>
      <c r="Q5" s="2501"/>
      <c r="R5" s="2501"/>
      <c r="S5" s="2501"/>
      <c r="T5" s="2501"/>
      <c r="U5" s="2501"/>
      <c r="V5" s="2501"/>
      <c r="W5" s="2501"/>
      <c r="X5" s="2501"/>
      <c r="Y5" s="2502"/>
      <c r="Z5" s="2500" t="s">
        <v>350</v>
      </c>
      <c r="AA5" s="2501"/>
      <c r="AB5" s="2501"/>
      <c r="AC5" s="2501"/>
      <c r="AD5" s="2501"/>
      <c r="AE5" s="2501"/>
      <c r="AF5" s="2501"/>
      <c r="AG5" s="2501"/>
      <c r="AH5" s="2501"/>
      <c r="AI5" s="2501"/>
      <c r="AJ5" s="2502"/>
    </row>
    <row r="6" spans="2:36" s="8" customFormat="1" ht="15" hidden="1" customHeight="1">
      <c r="B6" s="2491"/>
      <c r="C6" s="2507"/>
      <c r="D6" s="2513" t="s">
        <v>1163</v>
      </c>
      <c r="E6" s="2513"/>
      <c r="F6" s="2513"/>
      <c r="G6" s="2513"/>
      <c r="H6" s="2513"/>
      <c r="I6" s="2513"/>
      <c r="J6" s="2513"/>
      <c r="K6" s="2513"/>
      <c r="L6" s="2513"/>
      <c r="M6" s="2513"/>
      <c r="N6" s="2514"/>
      <c r="O6" s="2484" t="s">
        <v>341</v>
      </c>
      <c r="P6" s="2485"/>
      <c r="Q6" s="2485"/>
      <c r="R6" s="2485"/>
      <c r="S6" s="2485"/>
      <c r="T6" s="2485"/>
      <c r="U6" s="2485"/>
      <c r="V6" s="2485"/>
      <c r="W6" s="2485"/>
      <c r="X6" s="2485"/>
      <c r="Y6" s="2486"/>
      <c r="Z6" s="2484" t="s">
        <v>342</v>
      </c>
      <c r="AA6" s="2485"/>
      <c r="AB6" s="2485"/>
      <c r="AC6" s="2485"/>
      <c r="AD6" s="2485"/>
      <c r="AE6" s="2485"/>
      <c r="AF6" s="2485"/>
      <c r="AG6" s="2485"/>
      <c r="AH6" s="2485"/>
      <c r="AI6" s="2485"/>
      <c r="AJ6" s="2486"/>
    </row>
    <row r="7" spans="2:36" s="8" customFormat="1" ht="15" hidden="1" customHeight="1" thickBot="1">
      <c r="B7" s="2491"/>
      <c r="C7" s="2507"/>
      <c r="D7" s="2499" t="s">
        <v>1164</v>
      </c>
      <c r="E7" s="2499"/>
      <c r="F7" s="2499"/>
      <c r="G7" s="2499"/>
      <c r="H7" s="2499" t="s">
        <v>1165</v>
      </c>
      <c r="I7" s="2499"/>
      <c r="J7" s="2499"/>
      <c r="K7" s="2499"/>
      <c r="L7" s="2499"/>
      <c r="M7" s="2510" t="s">
        <v>1166</v>
      </c>
      <c r="N7" s="2511"/>
      <c r="O7" s="2498" t="s">
        <v>1164</v>
      </c>
      <c r="P7" s="2499"/>
      <c r="Q7" s="2499"/>
      <c r="R7" s="2499"/>
      <c r="S7" s="2495" t="s">
        <v>1165</v>
      </c>
      <c r="T7" s="2496"/>
      <c r="U7" s="2496"/>
      <c r="V7" s="2496"/>
      <c r="W7" s="2497"/>
      <c r="X7" s="2493" t="s">
        <v>1166</v>
      </c>
      <c r="Y7" s="2494"/>
      <c r="Z7" s="2498" t="s">
        <v>1164</v>
      </c>
      <c r="AA7" s="2499"/>
      <c r="AB7" s="2499"/>
      <c r="AC7" s="2499"/>
      <c r="AD7" s="2495" t="s">
        <v>1165</v>
      </c>
      <c r="AE7" s="2496"/>
      <c r="AF7" s="2496"/>
      <c r="AG7" s="2496"/>
      <c r="AH7" s="2497"/>
      <c r="AI7" s="2493" t="s">
        <v>1166</v>
      </c>
      <c r="AJ7" s="2494"/>
    </row>
    <row r="8" spans="2:36" s="8" customFormat="1" ht="43.5" hidden="1" customHeight="1" thickBot="1">
      <c r="B8" s="2492"/>
      <c r="C8" s="2493"/>
      <c r="D8" s="19" t="s">
        <v>1167</v>
      </c>
      <c r="E8" s="19" t="s">
        <v>1168</v>
      </c>
      <c r="F8" s="19" t="s">
        <v>1169</v>
      </c>
      <c r="G8" s="19" t="s">
        <v>1170</v>
      </c>
      <c r="H8" s="19" t="s">
        <v>1171</v>
      </c>
      <c r="I8" s="19" t="s">
        <v>1167</v>
      </c>
      <c r="J8" s="19" t="s">
        <v>1168</v>
      </c>
      <c r="K8" s="19" t="s">
        <v>1169</v>
      </c>
      <c r="L8" s="19" t="s">
        <v>1170</v>
      </c>
      <c r="M8" s="19" t="s">
        <v>1172</v>
      </c>
      <c r="N8" s="46" t="s">
        <v>1173</v>
      </c>
      <c r="O8" s="1917" t="s">
        <v>1167</v>
      </c>
      <c r="P8" s="1918" t="s">
        <v>1168</v>
      </c>
      <c r="Q8" s="1918" t="s">
        <v>1169</v>
      </c>
      <c r="R8" s="1918" t="s">
        <v>1170</v>
      </c>
      <c r="S8" s="1918" t="s">
        <v>1171</v>
      </c>
      <c r="T8" s="1918" t="s">
        <v>1167</v>
      </c>
      <c r="U8" s="1918" t="s">
        <v>1168</v>
      </c>
      <c r="V8" s="1918" t="s">
        <v>1169</v>
      </c>
      <c r="W8" s="1918" t="s">
        <v>1170</v>
      </c>
      <c r="X8" s="1918" t="s">
        <v>1172</v>
      </c>
      <c r="Y8" s="1919" t="s">
        <v>1173</v>
      </c>
      <c r="Z8" s="1917" t="s">
        <v>1167</v>
      </c>
      <c r="AA8" s="1918" t="s">
        <v>1168</v>
      </c>
      <c r="AB8" s="1918" t="s">
        <v>1169</v>
      </c>
      <c r="AC8" s="1918" t="s">
        <v>1170</v>
      </c>
      <c r="AD8" s="1918" t="s">
        <v>1171</v>
      </c>
      <c r="AE8" s="1918" t="s">
        <v>1167</v>
      </c>
      <c r="AF8" s="1918" t="s">
        <v>1168</v>
      </c>
      <c r="AG8" s="1918" t="s">
        <v>1169</v>
      </c>
      <c r="AH8" s="1918" t="s">
        <v>1170</v>
      </c>
      <c r="AI8" s="1918" t="s">
        <v>1172</v>
      </c>
      <c r="AJ8" s="1919" t="s">
        <v>1173</v>
      </c>
    </row>
    <row r="9" spans="2:36" ht="31.5" hidden="1" customHeight="1">
      <c r="B9" s="1920">
        <v>1</v>
      </c>
      <c r="C9" s="1921" t="s">
        <v>1174</v>
      </c>
      <c r="D9" s="1774">
        <v>5676989991</v>
      </c>
      <c r="E9" s="36">
        <v>17920263</v>
      </c>
      <c r="F9" s="1463">
        <v>0</v>
      </c>
      <c r="G9" s="1774">
        <v>5694910254</v>
      </c>
      <c r="H9" s="1463"/>
      <c r="I9" s="1463"/>
      <c r="J9" s="1774">
        <v>-8309</v>
      </c>
      <c r="K9" s="1463">
        <v>0</v>
      </c>
      <c r="L9" s="1463"/>
      <c r="M9" s="1463"/>
      <c r="N9" s="1922"/>
      <c r="O9" s="1923"/>
      <c r="P9" s="373">
        <v>3183628</v>
      </c>
      <c r="Q9" s="1924"/>
      <c r="R9" s="1925"/>
      <c r="S9" s="1925"/>
      <c r="T9" s="1925"/>
      <c r="U9" s="1925"/>
      <c r="V9" s="1924"/>
      <c r="W9" s="1925"/>
      <c r="X9" s="1925"/>
      <c r="Y9" s="1926"/>
      <c r="Z9" s="1923"/>
      <c r="AA9" s="1927"/>
      <c r="AB9" s="1924"/>
      <c r="AC9" s="1925"/>
      <c r="AD9" s="1925"/>
      <c r="AE9" s="1925"/>
      <c r="AF9" s="1925"/>
      <c r="AG9" s="1924"/>
      <c r="AH9" s="1925"/>
      <c r="AI9" s="1925"/>
      <c r="AJ9" s="1926"/>
    </row>
    <row r="10" spans="2:36" ht="31.5" hidden="1" customHeight="1">
      <c r="B10" s="1928">
        <v>2</v>
      </c>
      <c r="C10" s="1929" t="s">
        <v>1175</v>
      </c>
      <c r="D10" s="1774">
        <f>13342675792+43566366523+756845533</f>
        <v>57665887848</v>
      </c>
      <c r="E10" s="36">
        <f>3478428544+377667644+4522700</f>
        <v>3860618888</v>
      </c>
      <c r="F10" s="1463">
        <v>0</v>
      </c>
      <c r="G10" s="1774">
        <f>16821104336+43944034167+761368233</f>
        <v>61526506736</v>
      </c>
      <c r="H10" s="1463"/>
      <c r="I10" s="1463"/>
      <c r="J10" s="1774">
        <f>466009689+913404319+29207867</f>
        <v>1408621875</v>
      </c>
      <c r="K10" s="1463">
        <v>0</v>
      </c>
      <c r="L10" s="1463"/>
      <c r="M10" s="1463"/>
      <c r="N10" s="1922"/>
      <c r="O10" s="1930"/>
      <c r="P10" s="390">
        <v>308603</v>
      </c>
      <c r="Q10" s="1574"/>
      <c r="R10" s="1563"/>
      <c r="S10" s="1563"/>
      <c r="T10" s="1563"/>
      <c r="U10" s="1563"/>
      <c r="V10" s="1574"/>
      <c r="W10" s="1563"/>
      <c r="X10" s="1563"/>
      <c r="Y10" s="1922"/>
      <c r="Z10" s="1930"/>
      <c r="AA10" s="1931"/>
      <c r="AB10" s="1574"/>
      <c r="AC10" s="1563"/>
      <c r="AD10" s="1563"/>
      <c r="AE10" s="1563"/>
      <c r="AF10" s="1563"/>
      <c r="AG10" s="1574"/>
      <c r="AH10" s="1563"/>
      <c r="AI10" s="1563"/>
      <c r="AJ10" s="1922"/>
    </row>
    <row r="11" spans="2:36" ht="31.5" hidden="1" customHeight="1">
      <c r="B11" s="1928">
        <v>3</v>
      </c>
      <c r="C11" s="1929" t="s">
        <v>1176</v>
      </c>
      <c r="D11" s="1774">
        <v>76217653029</v>
      </c>
      <c r="E11" s="36">
        <v>12232013173</v>
      </c>
      <c r="F11" s="1463">
        <v>0</v>
      </c>
      <c r="G11" s="1774">
        <v>88449666202</v>
      </c>
      <c r="H11" s="1463"/>
      <c r="I11" s="1463"/>
      <c r="J11" s="1774">
        <v>4176262315</v>
      </c>
      <c r="K11" s="1463">
        <v>0</v>
      </c>
      <c r="L11" s="1463"/>
      <c r="M11" s="1463"/>
      <c r="N11" s="1922"/>
      <c r="O11" s="1930"/>
      <c r="P11" s="390">
        <v>-82705354</v>
      </c>
      <c r="Q11" s="1574"/>
      <c r="R11" s="1563"/>
      <c r="S11" s="1563"/>
      <c r="T11" s="1563"/>
      <c r="U11" s="1563"/>
      <c r="V11" s="1574"/>
      <c r="W11" s="1563"/>
      <c r="X11" s="1563"/>
      <c r="Y11" s="1922"/>
      <c r="Z11" s="1930"/>
      <c r="AA11" s="1931"/>
      <c r="AB11" s="1574"/>
      <c r="AC11" s="1563"/>
      <c r="AD11" s="1563"/>
      <c r="AE11" s="1563"/>
      <c r="AF11" s="1563"/>
      <c r="AG11" s="1574"/>
      <c r="AH11" s="1563"/>
      <c r="AI11" s="1563"/>
      <c r="AJ11" s="1922"/>
    </row>
    <row r="12" spans="2:36" ht="31.5" hidden="1" customHeight="1">
      <c r="B12" s="1932">
        <v>4</v>
      </c>
      <c r="C12" s="1933" t="s">
        <v>1177</v>
      </c>
      <c r="D12" s="1774">
        <v>43451670349</v>
      </c>
      <c r="E12" s="36">
        <v>3925791895</v>
      </c>
      <c r="F12" s="1463">
        <v>0</v>
      </c>
      <c r="G12" s="1774">
        <v>47377462244</v>
      </c>
      <c r="H12" s="1463"/>
      <c r="I12" s="1463"/>
      <c r="J12" s="1774">
        <v>2316499005</v>
      </c>
      <c r="K12" s="1463">
        <v>0</v>
      </c>
      <c r="L12" s="1463"/>
      <c r="M12" s="1463"/>
      <c r="N12" s="1922"/>
      <c r="O12" s="1930"/>
      <c r="P12" s="390">
        <v>-309270084</v>
      </c>
      <c r="Q12" s="1574"/>
      <c r="R12" s="1563"/>
      <c r="S12" s="1563"/>
      <c r="T12" s="1563"/>
      <c r="U12" s="1563"/>
      <c r="V12" s="1574"/>
      <c r="W12" s="1563"/>
      <c r="X12" s="1563"/>
      <c r="Y12" s="1922"/>
      <c r="Z12" s="1930"/>
      <c r="AA12" s="1931"/>
      <c r="AB12" s="1574"/>
      <c r="AC12" s="1563"/>
      <c r="AD12" s="1563"/>
      <c r="AE12" s="1563"/>
      <c r="AF12" s="1563"/>
      <c r="AG12" s="1574"/>
      <c r="AH12" s="1563"/>
      <c r="AI12" s="1563"/>
      <c r="AJ12" s="1922"/>
    </row>
    <row r="13" spans="2:36" ht="31.5" hidden="1" customHeight="1">
      <c r="B13" s="1928">
        <v>5</v>
      </c>
      <c r="C13" s="1929" t="s">
        <v>1178</v>
      </c>
      <c r="D13" s="1774">
        <v>0</v>
      </c>
      <c r="E13" s="36">
        <v>0</v>
      </c>
      <c r="F13" s="1463">
        <v>0</v>
      </c>
      <c r="G13" s="1774">
        <v>0</v>
      </c>
      <c r="H13" s="1463">
        <v>0</v>
      </c>
      <c r="I13" s="1463">
        <v>0</v>
      </c>
      <c r="J13" s="1774">
        <v>0</v>
      </c>
      <c r="K13" s="1463">
        <v>0</v>
      </c>
      <c r="L13" s="1463"/>
      <c r="M13" s="1463"/>
      <c r="N13" s="1922"/>
      <c r="O13" s="1930"/>
      <c r="P13" s="390">
        <v>0</v>
      </c>
      <c r="Q13" s="1574"/>
      <c r="R13" s="1563"/>
      <c r="S13" s="1463"/>
      <c r="T13" s="1563"/>
      <c r="U13" s="1563"/>
      <c r="V13" s="1574"/>
      <c r="W13" s="1563"/>
      <c r="X13" s="1563"/>
      <c r="Y13" s="1922"/>
      <c r="Z13" s="1930"/>
      <c r="AA13" s="1931"/>
      <c r="AB13" s="1574"/>
      <c r="AC13" s="1563"/>
      <c r="AD13" s="1463"/>
      <c r="AE13" s="1563"/>
      <c r="AF13" s="1563"/>
      <c r="AG13" s="1574"/>
      <c r="AH13" s="1563"/>
      <c r="AI13" s="1563"/>
      <c r="AJ13" s="1922"/>
    </row>
    <row r="14" spans="2:36" ht="31.5" hidden="1" customHeight="1">
      <c r="B14" s="1928">
        <v>6</v>
      </c>
      <c r="C14" s="1929" t="s">
        <v>1179</v>
      </c>
      <c r="D14" s="1774">
        <v>0</v>
      </c>
      <c r="E14" s="36">
        <v>0</v>
      </c>
      <c r="F14" s="1463">
        <v>0</v>
      </c>
      <c r="G14" s="1774">
        <v>0</v>
      </c>
      <c r="H14" s="1463">
        <v>0</v>
      </c>
      <c r="I14" s="1463">
        <v>0</v>
      </c>
      <c r="J14" s="1774">
        <v>0</v>
      </c>
      <c r="K14" s="1463">
        <v>0</v>
      </c>
      <c r="L14" s="1463"/>
      <c r="M14" s="1463"/>
      <c r="N14" s="1922"/>
      <c r="O14" s="1930"/>
      <c r="P14" s="390">
        <v>0</v>
      </c>
      <c r="Q14" s="1574"/>
      <c r="R14" s="1563"/>
      <c r="S14" s="1463"/>
      <c r="T14" s="1563"/>
      <c r="U14" s="1563"/>
      <c r="V14" s="1574"/>
      <c r="W14" s="1563"/>
      <c r="X14" s="1563"/>
      <c r="Y14" s="1922"/>
      <c r="Z14" s="1930"/>
      <c r="AA14" s="1931"/>
      <c r="AB14" s="1574"/>
      <c r="AC14" s="1563"/>
      <c r="AD14" s="1463"/>
      <c r="AE14" s="1563"/>
      <c r="AF14" s="1563"/>
      <c r="AG14" s="1574"/>
      <c r="AH14" s="1563"/>
      <c r="AI14" s="1563"/>
      <c r="AJ14" s="1922"/>
    </row>
    <row r="15" spans="2:36" ht="31.5" hidden="1" customHeight="1">
      <c r="B15" s="1928">
        <v>7</v>
      </c>
      <c r="C15" s="1929" t="s">
        <v>300</v>
      </c>
      <c r="D15" s="1774">
        <v>534186882</v>
      </c>
      <c r="E15" s="36">
        <v>9179080</v>
      </c>
      <c r="F15" s="1463">
        <v>0</v>
      </c>
      <c r="G15" s="1774">
        <v>543365962</v>
      </c>
      <c r="H15" s="1463"/>
      <c r="I15" s="1463"/>
      <c r="J15" s="1774">
        <v>-18275896</v>
      </c>
      <c r="K15" s="1463">
        <v>0</v>
      </c>
      <c r="L15" s="1463"/>
      <c r="M15" s="1463"/>
      <c r="N15" s="1922"/>
      <c r="O15" s="1930"/>
      <c r="P15" s="390">
        <v>0</v>
      </c>
      <c r="Q15" s="1574"/>
      <c r="R15" s="1563"/>
      <c r="S15" s="1563"/>
      <c r="T15" s="1563"/>
      <c r="U15" s="1563"/>
      <c r="V15" s="1574"/>
      <c r="W15" s="1563"/>
      <c r="X15" s="1563"/>
      <c r="Y15" s="1922"/>
      <c r="Z15" s="1930"/>
      <c r="AA15" s="1931"/>
      <c r="AB15" s="1574"/>
      <c r="AC15" s="1563"/>
      <c r="AD15" s="1563"/>
      <c r="AE15" s="1563"/>
      <c r="AF15" s="1563"/>
      <c r="AG15" s="1574"/>
      <c r="AH15" s="1563"/>
      <c r="AI15" s="1563"/>
      <c r="AJ15" s="1922"/>
    </row>
    <row r="16" spans="2:36" ht="31.5" hidden="1" customHeight="1">
      <c r="B16" s="1928">
        <v>8</v>
      </c>
      <c r="C16" s="1929" t="s">
        <v>1180</v>
      </c>
      <c r="D16" s="1774">
        <v>167180493</v>
      </c>
      <c r="E16" s="36">
        <v>6842853</v>
      </c>
      <c r="F16" s="1463">
        <v>0</v>
      </c>
      <c r="G16" s="1774">
        <v>174023346</v>
      </c>
      <c r="H16" s="1463"/>
      <c r="I16" s="1463"/>
      <c r="J16" s="1774">
        <v>8199012</v>
      </c>
      <c r="K16" s="1463">
        <v>0</v>
      </c>
      <c r="L16" s="1463"/>
      <c r="M16" s="1463"/>
      <c r="N16" s="1922"/>
      <c r="O16" s="1930"/>
      <c r="P16" s="390">
        <v>83509</v>
      </c>
      <c r="Q16" s="1574"/>
      <c r="R16" s="1563"/>
      <c r="S16" s="1563"/>
      <c r="T16" s="1563"/>
      <c r="U16" s="1563"/>
      <c r="V16" s="1574"/>
      <c r="W16" s="1563"/>
      <c r="X16" s="1563"/>
      <c r="Y16" s="1922"/>
      <c r="Z16" s="1930"/>
      <c r="AA16" s="1931"/>
      <c r="AB16" s="1574"/>
      <c r="AC16" s="1563"/>
      <c r="AD16" s="1563"/>
      <c r="AE16" s="1563"/>
      <c r="AF16" s="1563"/>
      <c r="AG16" s="1574"/>
      <c r="AH16" s="1563"/>
      <c r="AI16" s="1563"/>
      <c r="AJ16" s="1922"/>
    </row>
    <row r="17" spans="2:36" ht="31.5" hidden="1" customHeight="1">
      <c r="B17" s="1934">
        <v>9</v>
      </c>
      <c r="C17" s="1935" t="s">
        <v>1181</v>
      </c>
      <c r="D17" s="1774">
        <v>336105569</v>
      </c>
      <c r="E17" s="36">
        <v>47072322</v>
      </c>
      <c r="F17" s="1463">
        <v>0</v>
      </c>
      <c r="G17" s="1774">
        <v>383177891</v>
      </c>
      <c r="H17" s="1463"/>
      <c r="I17" s="1463"/>
      <c r="J17" s="1774">
        <v>21547256</v>
      </c>
      <c r="K17" s="1463">
        <v>0</v>
      </c>
      <c r="L17" s="1463"/>
      <c r="M17" s="1463"/>
      <c r="N17" s="1922"/>
      <c r="O17" s="1930"/>
      <c r="P17" s="390">
        <v>0</v>
      </c>
      <c r="Q17" s="1574"/>
      <c r="R17" s="1563"/>
      <c r="S17" s="1563"/>
      <c r="T17" s="1563"/>
      <c r="U17" s="390">
        <v>80271</v>
      </c>
      <c r="V17" s="1574"/>
      <c r="W17" s="1563"/>
      <c r="X17" s="1563"/>
      <c r="Y17" s="1922"/>
      <c r="Z17" s="1930"/>
      <c r="AA17" s="1931"/>
      <c r="AB17" s="1574"/>
      <c r="AC17" s="1563"/>
      <c r="AD17" s="1563"/>
      <c r="AE17" s="1563"/>
      <c r="AF17" s="1563"/>
      <c r="AG17" s="1574"/>
      <c r="AH17" s="1563"/>
      <c r="AI17" s="1563"/>
      <c r="AJ17" s="1922"/>
    </row>
    <row r="18" spans="2:36" ht="31.5" hidden="1" customHeight="1" thickBot="1">
      <c r="B18" s="1786">
        <v>10</v>
      </c>
      <c r="C18" s="1936" t="s">
        <v>1182</v>
      </c>
      <c r="D18" s="396">
        <f t="shared" ref="D18:O18" si="0">SUM(D9:D17)</f>
        <v>184049674161</v>
      </c>
      <c r="E18" s="396">
        <f t="shared" si="0"/>
        <v>20099438474</v>
      </c>
      <c r="F18" s="396">
        <f t="shared" si="0"/>
        <v>0</v>
      </c>
      <c r="G18" s="396">
        <f t="shared" si="0"/>
        <v>204149112635</v>
      </c>
      <c r="H18" s="396">
        <f t="shared" si="0"/>
        <v>0</v>
      </c>
      <c r="I18" s="396">
        <v>80826743456</v>
      </c>
      <c r="J18" s="396">
        <f t="shared" si="0"/>
        <v>7912845258</v>
      </c>
      <c r="K18" s="396">
        <f t="shared" si="0"/>
        <v>0</v>
      </c>
      <c r="L18" s="396">
        <v>88739588714</v>
      </c>
      <c r="M18" s="396">
        <v>103222930705</v>
      </c>
      <c r="N18" s="1937">
        <v>115409523921</v>
      </c>
      <c r="O18" s="1938">
        <f t="shared" si="0"/>
        <v>0</v>
      </c>
      <c r="P18" s="396">
        <f>SUM(P9:P17)</f>
        <v>-388399698</v>
      </c>
      <c r="Q18" s="396"/>
      <c r="R18" s="396"/>
      <c r="S18" s="396"/>
      <c r="T18" s="396"/>
      <c r="U18" s="396">
        <f>SUM(U9:U17)</f>
        <v>80271</v>
      </c>
      <c r="V18" s="397"/>
      <c r="W18" s="397"/>
      <c r="X18" s="397"/>
      <c r="Y18" s="398"/>
      <c r="Z18" s="399"/>
      <c r="AA18" s="397"/>
      <c r="AB18" s="397"/>
      <c r="AC18" s="397"/>
      <c r="AD18" s="397"/>
      <c r="AE18" s="397"/>
      <c r="AF18" s="397"/>
      <c r="AG18" s="397"/>
      <c r="AH18" s="397"/>
      <c r="AI18" s="397"/>
      <c r="AJ18" s="398"/>
    </row>
    <row r="19" spans="2:36" ht="15" hidden="1" customHeight="1">
      <c r="B19" s="2" t="s">
        <v>1183</v>
      </c>
      <c r="C19" s="2" t="s">
        <v>1184</v>
      </c>
    </row>
    <row r="20" spans="2:36" ht="32.25" hidden="1" customHeight="1">
      <c r="C20" s="2504" t="s">
        <v>1185</v>
      </c>
      <c r="D20" s="2504"/>
      <c r="E20" s="2504"/>
      <c r="F20" s="2504"/>
      <c r="G20" s="2504"/>
      <c r="H20" s="2504"/>
      <c r="I20" s="2504"/>
      <c r="J20" s="2504"/>
      <c r="K20" s="2504"/>
      <c r="L20" s="2504"/>
      <c r="M20" s="2504"/>
      <c r="N20" s="2504"/>
    </row>
    <row r="21" spans="2:36" ht="15" hidden="1" customHeight="1">
      <c r="B21" s="2505" t="s">
        <v>1186</v>
      </c>
      <c r="C21" s="2505"/>
      <c r="D21" s="2505"/>
      <c r="E21" s="2505"/>
      <c r="F21" s="2505"/>
      <c r="G21" s="2505"/>
      <c r="H21" s="2505"/>
      <c r="I21" s="2505"/>
      <c r="J21" s="2505"/>
      <c r="K21" s="2505"/>
      <c r="L21" s="2505"/>
      <c r="M21" s="2505"/>
      <c r="N21" s="2505"/>
      <c r="O21" s="2505"/>
      <c r="P21" s="2505"/>
    </row>
    <row r="22" spans="2:36" ht="15" hidden="1" customHeight="1">
      <c r="B22" s="1939"/>
      <c r="C22" s="1940"/>
      <c r="D22" s="1941"/>
      <c r="E22" s="1942"/>
      <c r="F22" s="1940"/>
      <c r="G22" s="1940"/>
      <c r="H22" s="1940"/>
      <c r="I22" s="1940"/>
      <c r="J22" s="1940"/>
      <c r="K22" s="1940"/>
      <c r="L22" s="1940"/>
      <c r="M22" s="1940"/>
      <c r="N22" s="1940"/>
      <c r="O22" s="1940"/>
      <c r="P22" s="1940"/>
    </row>
    <row r="23" spans="2:36" ht="15" hidden="1" customHeight="1">
      <c r="B23" s="2512" t="s">
        <v>1187</v>
      </c>
      <c r="C23" s="2512"/>
      <c r="D23" s="2512"/>
      <c r="E23" s="2512"/>
      <c r="F23" s="2512"/>
      <c r="G23" s="2512"/>
      <c r="H23" s="2512"/>
      <c r="I23" s="2512"/>
      <c r="J23" s="2512"/>
      <c r="K23" s="2512"/>
      <c r="L23" s="2512"/>
      <c r="M23" s="2512"/>
      <c r="N23" s="2512"/>
      <c r="O23" s="2512"/>
      <c r="P23" s="1915" t="s">
        <v>1188</v>
      </c>
    </row>
    <row r="24" spans="2:36" ht="15" hidden="1" customHeight="1" thickBot="1">
      <c r="B24" s="1943"/>
      <c r="C24" s="1940"/>
      <c r="D24" s="1941"/>
      <c r="E24" s="1940"/>
      <c r="F24" s="1940"/>
      <c r="G24" s="1940"/>
      <c r="H24" s="1940"/>
      <c r="I24" s="1940"/>
      <c r="J24" s="1940"/>
      <c r="K24" s="1940"/>
      <c r="L24" s="1940"/>
      <c r="M24" s="1940"/>
      <c r="N24" s="2503" t="s">
        <v>1189</v>
      </c>
      <c r="O24" s="2503"/>
      <c r="P24" s="2503"/>
    </row>
    <row r="25" spans="2:36" ht="15" hidden="1" customHeight="1" thickBot="1">
      <c r="B25" s="1943"/>
      <c r="C25" s="1940"/>
      <c r="D25" s="2517" t="s">
        <v>1190</v>
      </c>
      <c r="E25" s="2518"/>
      <c r="F25" s="2518"/>
      <c r="G25" s="2518"/>
      <c r="H25" s="2519"/>
      <c r="I25" s="1940"/>
      <c r="J25" s="2520" t="s">
        <v>1191</v>
      </c>
      <c r="K25" s="2521"/>
      <c r="L25" s="2521"/>
      <c r="M25" s="2521"/>
      <c r="N25" s="2522"/>
      <c r="O25" s="2515" t="s">
        <v>1192</v>
      </c>
      <c r="P25" s="2516"/>
    </row>
    <row r="26" spans="2:36" ht="15" hidden="1" customHeight="1" thickBot="1">
      <c r="B26" s="2523" t="str">
        <f>D28</f>
        <v>Prev. Yr. 08-09</v>
      </c>
      <c r="C26" s="2523"/>
      <c r="D26" s="1941"/>
      <c r="E26" s="1940"/>
      <c r="F26" s="1940"/>
      <c r="G26" s="1940"/>
      <c r="H26" s="1940"/>
      <c r="I26" s="1940"/>
      <c r="J26" s="1940"/>
      <c r="K26" s="32"/>
      <c r="L26" s="32"/>
      <c r="M26" s="32"/>
      <c r="N26" s="32"/>
      <c r="O26" s="1940"/>
      <c r="P26" s="1940"/>
    </row>
    <row r="27" spans="2:36" ht="15" hidden="1" customHeight="1">
      <c r="B27" s="1944" t="s">
        <v>1193</v>
      </c>
      <c r="C27" s="1945" t="s">
        <v>1194</v>
      </c>
      <c r="D27" s="1944" t="s">
        <v>1195</v>
      </c>
      <c r="E27" s="1945" t="s">
        <v>397</v>
      </c>
      <c r="F27" s="1945" t="s">
        <v>1196</v>
      </c>
      <c r="G27" s="1945" t="s">
        <v>1197</v>
      </c>
      <c r="H27" s="1945" t="s">
        <v>1195</v>
      </c>
      <c r="I27" s="1944" t="s">
        <v>1193</v>
      </c>
      <c r="J27" s="1945" t="s">
        <v>1195</v>
      </c>
      <c r="K27" s="1945" t="s">
        <v>1198</v>
      </c>
      <c r="L27" s="1945" t="s">
        <v>1199</v>
      </c>
      <c r="M27" s="1945" t="s">
        <v>1200</v>
      </c>
      <c r="N27" s="1945" t="s">
        <v>1201</v>
      </c>
      <c r="O27" s="1945" t="s">
        <v>1195</v>
      </c>
      <c r="P27" s="1945" t="s">
        <v>1195</v>
      </c>
    </row>
    <row r="28" spans="2:36" ht="15" hidden="1" customHeight="1" thickBot="1">
      <c r="B28" s="1946"/>
      <c r="C28" s="1947"/>
      <c r="D28" s="1946" t="s">
        <v>1202</v>
      </c>
      <c r="E28" s="1947">
        <v>0</v>
      </c>
      <c r="F28" s="1947">
        <v>0</v>
      </c>
      <c r="G28" s="1947">
        <v>0</v>
      </c>
      <c r="H28" s="1947">
        <v>0</v>
      </c>
      <c r="I28" s="1946"/>
      <c r="J28" s="1946">
        <v>0</v>
      </c>
      <c r="K28" s="1947">
        <v>0</v>
      </c>
      <c r="L28" s="1947">
        <v>0</v>
      </c>
      <c r="M28" s="1947">
        <v>0</v>
      </c>
      <c r="N28" s="1947">
        <v>0</v>
      </c>
      <c r="O28" s="1947">
        <v>0</v>
      </c>
      <c r="P28" s="1947">
        <v>0</v>
      </c>
    </row>
    <row r="29" spans="2:36" ht="15" hidden="1" customHeight="1" thickBot="1">
      <c r="B29" s="1948">
        <v>1</v>
      </c>
      <c r="C29" s="1916" t="s">
        <v>1203</v>
      </c>
      <c r="D29" s="1949" t="s">
        <v>1204</v>
      </c>
      <c r="E29" s="1949" t="s">
        <v>1204</v>
      </c>
      <c r="F29" s="1949" t="s">
        <v>1204</v>
      </c>
      <c r="G29" s="1949" t="s">
        <v>1204</v>
      </c>
      <c r="H29" s="1949" t="s">
        <v>1204</v>
      </c>
      <c r="I29" s="1950">
        <v>1</v>
      </c>
      <c r="J29" s="1949" t="s">
        <v>1204</v>
      </c>
      <c r="K29" s="1949" t="s">
        <v>1204</v>
      </c>
      <c r="L29" s="1951" t="s">
        <v>1204</v>
      </c>
      <c r="M29" s="1949" t="s">
        <v>1204</v>
      </c>
      <c r="N29" s="1949" t="s">
        <v>1204</v>
      </c>
      <c r="O29" s="1949" t="s">
        <v>1204</v>
      </c>
      <c r="P29" s="1952" t="s">
        <v>1204</v>
      </c>
    </row>
    <row r="30" spans="2:36" ht="15" hidden="1" customHeight="1">
      <c r="B30" s="1953" t="s">
        <v>1205</v>
      </c>
      <c r="C30" s="1954" t="s">
        <v>1206</v>
      </c>
      <c r="D30" s="1955">
        <v>43191900069</v>
      </c>
      <c r="E30" s="1956">
        <f>13598634014+45423201</f>
        <v>13644057215</v>
      </c>
      <c r="F30" s="1956"/>
      <c r="G30" s="1956"/>
      <c r="H30" s="1956">
        <f>D30+E30-F30-G30</f>
        <v>56835957284</v>
      </c>
      <c r="I30" s="1957" t="s">
        <v>1207</v>
      </c>
      <c r="J30" s="1958">
        <v>23290778745</v>
      </c>
      <c r="K30" s="1959">
        <v>2305146041</v>
      </c>
      <c r="L30" s="1960">
        <v>0</v>
      </c>
      <c r="M30" s="1959"/>
      <c r="N30" s="1961">
        <f>J30+K30-L30</f>
        <v>25595924786</v>
      </c>
      <c r="O30" s="1956">
        <f>H30-N30</f>
        <v>31240032498</v>
      </c>
      <c r="P30" s="1962">
        <f>D30-J30</f>
        <v>19901121324</v>
      </c>
    </row>
    <row r="31" spans="2:36" ht="15" hidden="1" customHeight="1">
      <c r="B31" s="1963" t="s">
        <v>1208</v>
      </c>
      <c r="C31" s="121" t="s">
        <v>1209</v>
      </c>
      <c r="D31" s="1964">
        <v>59574388927</v>
      </c>
      <c r="E31" s="14">
        <f>278333285-27298</f>
        <v>278305987</v>
      </c>
      <c r="F31" s="14"/>
      <c r="G31" s="14"/>
      <c r="H31" s="14">
        <f>D31+E31-F31-G31</f>
        <v>59852694914</v>
      </c>
      <c r="I31" s="1965" t="s">
        <v>1210</v>
      </c>
      <c r="J31" s="1966">
        <v>15683700040</v>
      </c>
      <c r="K31" s="108">
        <v>1363298006</v>
      </c>
      <c r="L31" s="108">
        <v>12252401</v>
      </c>
      <c r="M31" s="108"/>
      <c r="N31" s="108">
        <f t="shared" ref="N31:N36" si="1">J31+K31-L31</f>
        <v>17034745645</v>
      </c>
      <c r="O31" s="14">
        <f t="shared" ref="O31:O36" si="2">H31-N31</f>
        <v>42817949269</v>
      </c>
      <c r="P31" s="1967">
        <f t="shared" ref="P31:P36" si="3">D31-J31</f>
        <v>43890688887</v>
      </c>
    </row>
    <row r="32" spans="2:36" ht="15" hidden="1" customHeight="1" thickBot="1">
      <c r="B32" s="1968" t="s">
        <v>1211</v>
      </c>
      <c r="C32" s="1969" t="s">
        <v>1212</v>
      </c>
      <c r="D32" s="1970">
        <v>26822284</v>
      </c>
      <c r="E32" s="1971">
        <v>0</v>
      </c>
      <c r="F32" s="1971"/>
      <c r="G32" s="1971"/>
      <c r="H32" s="1971">
        <f>D32+E32-F32-G32</f>
        <v>26822284</v>
      </c>
      <c r="I32" s="1972" t="s">
        <v>1213</v>
      </c>
      <c r="J32" s="1973">
        <v>24140056</v>
      </c>
      <c r="K32" s="136"/>
      <c r="L32" s="136">
        <v>0</v>
      </c>
      <c r="M32" s="136">
        <v>0</v>
      </c>
      <c r="N32" s="136">
        <f t="shared" si="1"/>
        <v>24140056</v>
      </c>
      <c r="O32" s="1971">
        <f t="shared" si="2"/>
        <v>2682228</v>
      </c>
      <c r="P32" s="1974">
        <f t="shared" si="3"/>
        <v>2682228</v>
      </c>
    </row>
    <row r="33" spans="2:16" ht="15" hidden="1" customHeight="1">
      <c r="B33" s="125"/>
      <c r="C33" s="121" t="s">
        <v>1214</v>
      </c>
      <c r="D33" s="1975">
        <f>D32+D31+D30</f>
        <v>102793111280</v>
      </c>
      <c r="E33" s="1976">
        <f>SUM(E30:E32)</f>
        <v>13922363202</v>
      </c>
      <c r="F33" s="1976">
        <f t="shared" ref="F33:P33" si="4">SUM(F30:F32)</f>
        <v>0</v>
      </c>
      <c r="G33" s="1976">
        <f t="shared" si="4"/>
        <v>0</v>
      </c>
      <c r="H33" s="1976">
        <f t="shared" si="4"/>
        <v>116715474482</v>
      </c>
      <c r="I33" s="1977">
        <f t="shared" si="4"/>
        <v>0</v>
      </c>
      <c r="J33" s="1977">
        <f>J32+J31+J30</f>
        <v>38998618841</v>
      </c>
      <c r="K33" s="1977">
        <f t="shared" si="4"/>
        <v>3668444047</v>
      </c>
      <c r="L33" s="1977">
        <f t="shared" si="4"/>
        <v>12252401</v>
      </c>
      <c r="M33" s="1977">
        <f t="shared" si="4"/>
        <v>0</v>
      </c>
      <c r="N33" s="1978">
        <f t="shared" si="4"/>
        <v>42654810487</v>
      </c>
      <c r="O33" s="1976">
        <f t="shared" si="4"/>
        <v>74060663995</v>
      </c>
      <c r="P33" s="1979">
        <f t="shared" si="4"/>
        <v>63794492439</v>
      </c>
    </row>
    <row r="34" spans="2:16" ht="15" hidden="1" customHeight="1">
      <c r="B34" s="125">
        <v>2</v>
      </c>
      <c r="C34" s="1980" t="s">
        <v>302</v>
      </c>
      <c r="D34" s="1964">
        <v>20404647240</v>
      </c>
      <c r="E34" s="14">
        <v>763896465</v>
      </c>
      <c r="F34" s="14"/>
      <c r="G34" s="14"/>
      <c r="H34" s="14">
        <f>D34+E34-F34-G34</f>
        <v>21168543705</v>
      </c>
      <c r="I34" s="65">
        <v>2</v>
      </c>
      <c r="J34" s="1964">
        <v>11211008866</v>
      </c>
      <c r="K34" s="108">
        <v>1174319815</v>
      </c>
      <c r="L34" s="108">
        <v>28347429</v>
      </c>
      <c r="M34" s="32"/>
      <c r="N34" s="108">
        <f t="shared" si="1"/>
        <v>12356981252</v>
      </c>
      <c r="O34" s="14">
        <f t="shared" si="2"/>
        <v>8811562453</v>
      </c>
      <c r="P34" s="1967">
        <f t="shared" si="3"/>
        <v>9193638374</v>
      </c>
    </row>
    <row r="35" spans="2:16" ht="15" hidden="1" customHeight="1">
      <c r="B35" s="125">
        <v>3</v>
      </c>
      <c r="C35" s="1980" t="s">
        <v>1215</v>
      </c>
      <c r="D35" s="1964">
        <v>59752507432</v>
      </c>
      <c r="E35" s="14">
        <v>5458574710</v>
      </c>
      <c r="F35" s="14"/>
      <c r="G35" s="14"/>
      <c r="H35" s="14">
        <f>D35+E35-F35-G35</f>
        <v>65211082142</v>
      </c>
      <c r="I35" s="65">
        <v>3</v>
      </c>
      <c r="J35" s="1964">
        <v>29610696270</v>
      </c>
      <c r="K35" s="108">
        <v>3667119803</v>
      </c>
      <c r="L35" s="108">
        <v>573271719</v>
      </c>
      <c r="M35" s="32"/>
      <c r="N35" s="108">
        <f t="shared" si="1"/>
        <v>32704544354</v>
      </c>
      <c r="O35" s="14">
        <f t="shared" si="2"/>
        <v>32506537788</v>
      </c>
      <c r="P35" s="1967">
        <f t="shared" si="3"/>
        <v>30141811162</v>
      </c>
    </row>
    <row r="36" spans="2:16" ht="15" hidden="1" customHeight="1">
      <c r="B36" s="125">
        <v>4</v>
      </c>
      <c r="C36" s="1980" t="s">
        <v>1216</v>
      </c>
      <c r="D36" s="1964">
        <v>1367389602</v>
      </c>
      <c r="E36" s="14">
        <v>0</v>
      </c>
      <c r="F36" s="14"/>
      <c r="G36" s="14"/>
      <c r="H36" s="14">
        <f>D36+E36-F36-G36</f>
        <v>1367389602</v>
      </c>
      <c r="I36" s="65">
        <v>4</v>
      </c>
      <c r="J36" s="1964">
        <v>1103926845</v>
      </c>
      <c r="K36" s="108">
        <v>18289438</v>
      </c>
      <c r="L36" s="108">
        <v>0</v>
      </c>
      <c r="M36" s="32"/>
      <c r="N36" s="108">
        <f t="shared" si="1"/>
        <v>1122216283</v>
      </c>
      <c r="O36" s="14">
        <f t="shared" si="2"/>
        <v>245173319</v>
      </c>
      <c r="P36" s="1967">
        <f t="shared" si="3"/>
        <v>263462757</v>
      </c>
    </row>
    <row r="37" spans="2:16" ht="15" hidden="1" customHeight="1" thickBot="1">
      <c r="B37" s="128"/>
      <c r="C37" s="108"/>
      <c r="D37" s="1972"/>
      <c r="E37" s="1971"/>
      <c r="F37" s="1971"/>
      <c r="G37" s="1971"/>
      <c r="H37" s="1971"/>
      <c r="I37" s="136"/>
      <c r="J37" s="1981"/>
      <c r="K37" s="136"/>
      <c r="L37" s="136"/>
      <c r="M37" s="136"/>
      <c r="N37" s="1982"/>
      <c r="O37" s="14"/>
      <c r="P37" s="1967"/>
    </row>
    <row r="38" spans="2:16" ht="15" hidden="1" customHeight="1" thickBot="1">
      <c r="B38" s="1983"/>
      <c r="C38" s="1984" t="s">
        <v>354</v>
      </c>
      <c r="D38" s="1985">
        <f>SUM(D33:D37)</f>
        <v>184317655554</v>
      </c>
      <c r="E38" s="1985">
        <f>SUM(E33:E37)</f>
        <v>20144834377</v>
      </c>
      <c r="F38" s="1985">
        <f t="shared" ref="F38:P38" si="5">SUM(F33:F37)</f>
        <v>0</v>
      </c>
      <c r="G38" s="1985">
        <f t="shared" si="5"/>
        <v>0</v>
      </c>
      <c r="H38" s="1985">
        <f>SUM(H33:H37)</f>
        <v>204462489931</v>
      </c>
      <c r="I38" s="1986">
        <f t="shared" si="5"/>
        <v>9</v>
      </c>
      <c r="J38" s="1986">
        <f t="shared" si="5"/>
        <v>80924250822</v>
      </c>
      <c r="K38" s="1986">
        <f t="shared" si="5"/>
        <v>8528173103</v>
      </c>
      <c r="L38" s="1986">
        <f t="shared" si="5"/>
        <v>613871549</v>
      </c>
      <c r="M38" s="1986">
        <f t="shared" si="5"/>
        <v>0</v>
      </c>
      <c r="N38" s="1986">
        <f t="shared" si="5"/>
        <v>88838552376</v>
      </c>
      <c r="O38" s="1987">
        <f t="shared" si="5"/>
        <v>115623937555</v>
      </c>
      <c r="P38" s="1988">
        <f t="shared" si="5"/>
        <v>103393404732</v>
      </c>
    </row>
    <row r="39" spans="2:16" ht="15" hidden="1" customHeight="1" thickBot="1">
      <c r="B39" s="1989"/>
      <c r="C39" s="1867"/>
      <c r="D39" s="1990"/>
      <c r="E39" s="12"/>
      <c r="F39" s="12"/>
      <c r="G39" s="12"/>
      <c r="H39" s="12"/>
      <c r="I39" s="1867"/>
      <c r="J39" s="1867"/>
      <c r="K39" s="1867"/>
      <c r="L39" s="1867"/>
      <c r="M39" s="1867"/>
      <c r="N39" s="1867"/>
      <c r="O39" s="12"/>
      <c r="P39" s="1991"/>
    </row>
    <row r="40" spans="2:16" ht="18.75" hidden="1" customHeight="1" thickBot="1">
      <c r="B40" s="1992"/>
      <c r="C40" s="1993" t="s">
        <v>1217</v>
      </c>
      <c r="D40" s="1994">
        <v>164207366991</v>
      </c>
      <c r="E40" s="1994">
        <v>20110288563</v>
      </c>
      <c r="F40" s="1994">
        <v>0</v>
      </c>
      <c r="G40" s="1994">
        <v>0</v>
      </c>
      <c r="H40" s="1995">
        <f>D40+E40-F40-G40</f>
        <v>184317655554</v>
      </c>
      <c r="I40" s="1996"/>
      <c r="J40" s="1994">
        <v>74143295029</v>
      </c>
      <c r="K40" s="1994">
        <v>7255747753</v>
      </c>
      <c r="L40" s="1994">
        <v>474791960</v>
      </c>
      <c r="M40" s="1994">
        <v>0</v>
      </c>
      <c r="N40" s="1994">
        <f>J40+K40-L40</f>
        <v>80924250822</v>
      </c>
      <c r="O40" s="1994">
        <f>H40-N40</f>
        <v>103393404732</v>
      </c>
      <c r="P40" s="1997">
        <f>D40-J40</f>
        <v>90064071962</v>
      </c>
    </row>
    <row r="41" spans="2:16" ht="18.75" customHeight="1">
      <c r="B41" s="1867"/>
      <c r="C41" s="1856"/>
      <c r="D41" s="1868"/>
      <c r="E41" s="1868"/>
      <c r="F41" s="1868"/>
      <c r="G41" s="1868"/>
      <c r="H41" s="1869"/>
      <c r="I41" s="1870"/>
      <c r="J41" s="1868"/>
      <c r="K41" s="1868"/>
      <c r="L41" s="1868"/>
      <c r="M41" s="1868"/>
      <c r="N41" s="1868"/>
      <c r="O41" s="1868"/>
      <c r="P41" s="1998"/>
    </row>
    <row r="42" spans="2:16" ht="18.75" customHeight="1">
      <c r="B42" s="2418" t="s">
        <v>2549</v>
      </c>
      <c r="C42" s="2418"/>
      <c r="D42" s="2418"/>
      <c r="E42" s="2418"/>
      <c r="F42" s="2418"/>
      <c r="G42" s="2418"/>
      <c r="H42" s="2418"/>
      <c r="I42" s="2418"/>
      <c r="J42" s="2418"/>
      <c r="K42" s="2418"/>
      <c r="L42" s="2418"/>
      <c r="M42" s="2418"/>
      <c r="N42" s="1868"/>
      <c r="O42" s="1868"/>
      <c r="P42" s="1998"/>
    </row>
    <row r="43" spans="2:16" ht="18.75" customHeight="1">
      <c r="B43" s="2419" t="s">
        <v>2689</v>
      </c>
      <c r="C43" s="2419"/>
      <c r="D43" s="2419"/>
      <c r="E43" s="2419"/>
      <c r="F43" s="2419"/>
      <c r="G43" s="2419"/>
      <c r="H43" s="2419"/>
      <c r="I43" s="2419"/>
      <c r="J43" s="2419"/>
      <c r="K43" s="2419"/>
      <c r="L43" s="2419"/>
      <c r="M43" s="2419"/>
    </row>
    <row r="45" spans="2:16" ht="15" customHeight="1">
      <c r="B45" s="2435" t="s">
        <v>2577</v>
      </c>
      <c r="C45" s="2435"/>
      <c r="D45" s="2435"/>
      <c r="E45" s="2435"/>
      <c r="F45" s="2435"/>
      <c r="G45" s="2435"/>
      <c r="H45" s="2435"/>
      <c r="I45" s="2435"/>
      <c r="J45" s="2435"/>
      <c r="K45" s="2435"/>
      <c r="L45" s="2435"/>
      <c r="M45" s="2435"/>
    </row>
    <row r="46" spans="2:16" ht="18.75" customHeight="1">
      <c r="B46" s="2419" t="s">
        <v>384</v>
      </c>
      <c r="C46" s="2419"/>
      <c r="D46" s="2419"/>
      <c r="E46" s="2419"/>
      <c r="F46" s="2419"/>
      <c r="G46" s="2419"/>
      <c r="H46" s="2419"/>
      <c r="I46" s="2419"/>
      <c r="J46" s="2419"/>
      <c r="K46" s="2419"/>
      <c r="L46" s="2419"/>
      <c r="M46" s="2419"/>
    </row>
    <row r="47" spans="2:16" ht="15" customHeight="1" thickBot="1">
      <c r="M47" s="1855" t="s">
        <v>97</v>
      </c>
    </row>
    <row r="48" spans="2:16" ht="33" customHeight="1">
      <c r="B48" s="2448" t="s">
        <v>349</v>
      </c>
      <c r="C48" s="2450" t="s">
        <v>331</v>
      </c>
      <c r="D48" s="2450" t="s">
        <v>1034</v>
      </c>
      <c r="E48" s="2450"/>
      <c r="F48" s="2450"/>
      <c r="G48" s="2450"/>
      <c r="H48" s="2450" t="s">
        <v>2591</v>
      </c>
      <c r="I48" s="2450"/>
      <c r="J48" s="2450"/>
      <c r="K48" s="2450"/>
      <c r="L48" s="2450"/>
      <c r="M48" s="2142" t="s">
        <v>2592</v>
      </c>
    </row>
    <row r="49" spans="2:13" ht="33" customHeight="1">
      <c r="B49" s="2449"/>
      <c r="C49" s="2451"/>
      <c r="D49" s="2144"/>
      <c r="E49" s="2144" t="s">
        <v>1036</v>
      </c>
      <c r="F49" s="2140" t="s">
        <v>1038</v>
      </c>
      <c r="G49" s="2144" t="s">
        <v>1037</v>
      </c>
      <c r="H49" s="2140"/>
      <c r="I49" s="2144" t="s">
        <v>1036</v>
      </c>
      <c r="J49" s="2144" t="s">
        <v>1229</v>
      </c>
      <c r="K49" s="2144" t="s">
        <v>1230</v>
      </c>
      <c r="L49" s="2140" t="s">
        <v>2567</v>
      </c>
      <c r="M49" s="2141" t="s">
        <v>1040</v>
      </c>
    </row>
    <row r="50" spans="2:13" ht="15.75" customHeight="1">
      <c r="B50" s="2145"/>
      <c r="C50" s="2144" t="s">
        <v>2553</v>
      </c>
      <c r="D50" s="2140"/>
      <c r="E50" s="2140">
        <v>1</v>
      </c>
      <c r="F50" s="2140">
        <v>3</v>
      </c>
      <c r="G50" s="2140">
        <v>2</v>
      </c>
      <c r="H50" s="2140"/>
      <c r="I50" s="2140">
        <v>1</v>
      </c>
      <c r="J50" s="2140">
        <v>7</v>
      </c>
      <c r="K50" s="2140">
        <v>8</v>
      </c>
      <c r="L50" s="2140">
        <v>2</v>
      </c>
      <c r="M50" s="2141">
        <v>3</v>
      </c>
    </row>
    <row r="51" spans="2:13" ht="20.25" customHeight="1">
      <c r="B51" s="127">
        <v>1</v>
      </c>
      <c r="C51" s="293" t="s">
        <v>384</v>
      </c>
      <c r="D51" s="1574"/>
      <c r="E51" s="36">
        <v>101.63</v>
      </c>
      <c r="F51" s="1453">
        <f>'Schedules of Accounts'!D102/10^7</f>
        <v>72.682103600000005</v>
      </c>
      <c r="G51" s="1453">
        <f>(G52+G55)/2*G57</f>
        <v>123.00296856867668</v>
      </c>
      <c r="H51" s="1453"/>
      <c r="I51" s="1453">
        <v>147.9</v>
      </c>
      <c r="J51" s="1453">
        <f>(J52+J55)/2*J57</f>
        <v>131.05980913735334</v>
      </c>
      <c r="K51" s="1453"/>
      <c r="L51" s="1453">
        <f>(L52+L55)/2*L57</f>
        <v>188.60317297624681</v>
      </c>
      <c r="M51" s="1565">
        <f>(M52+M55)/2*M57</f>
        <v>267.4944646919306</v>
      </c>
    </row>
    <row r="52" spans="2:13" ht="21" customHeight="1">
      <c r="B52" s="127">
        <v>2</v>
      </c>
      <c r="C52" s="293" t="s">
        <v>158</v>
      </c>
      <c r="D52" s="1574"/>
      <c r="E52" s="1463">
        <v>2112.92</v>
      </c>
      <c r="F52" s="1453">
        <f>'Schedules of Accounts'!D97/10^7</f>
        <v>3894.5288387999999</v>
      </c>
      <c r="G52" s="1453">
        <v>2116.85</v>
      </c>
      <c r="H52" s="1453"/>
      <c r="I52" s="1453">
        <v>2801.05</v>
      </c>
      <c r="J52" s="1453">
        <f>G55</f>
        <v>2542.3533548741166</v>
      </c>
      <c r="K52" s="1453"/>
      <c r="L52" s="1453">
        <f>I52</f>
        <v>2801.05</v>
      </c>
      <c r="M52" s="1565">
        <f>L55</f>
        <v>4343.0095824335913</v>
      </c>
    </row>
    <row r="53" spans="2:13" ht="20.25" customHeight="1">
      <c r="B53" s="127">
        <v>3</v>
      </c>
      <c r="C53" s="20" t="s">
        <v>1232</v>
      </c>
      <c r="D53" s="1574"/>
      <c r="E53" s="1463">
        <v>400</v>
      </c>
      <c r="F53" s="1463">
        <f>'Schedules of Accounts'!D98/10^7</f>
        <v>306.68007829999999</v>
      </c>
      <c r="G53" s="1774">
        <f>'Capex Summary sheet'!D18</f>
        <v>425.50335487411678</v>
      </c>
      <c r="H53" s="1463"/>
      <c r="I53" s="1463">
        <v>1673.87</v>
      </c>
      <c r="J53" s="1463">
        <f>'F9_data_A &amp; R'!M56</f>
        <v>-120.32000000000001</v>
      </c>
      <c r="K53" s="1463"/>
      <c r="L53" s="1463">
        <f>INDEX(Capitalisation,3)</f>
        <v>1541.9595824335906</v>
      </c>
      <c r="M53" s="1567">
        <f>INDEX(Capitalisation,4)</f>
        <v>1446.3469219483711</v>
      </c>
    </row>
    <row r="54" spans="2:13" ht="21" customHeight="1">
      <c r="B54" s="127">
        <v>4</v>
      </c>
      <c r="C54" s="20" t="s">
        <v>1443</v>
      </c>
      <c r="D54" s="1574"/>
      <c r="E54" s="1463">
        <v>0</v>
      </c>
      <c r="F54" s="1463">
        <f>'F9_data_A &amp; R'!F56</f>
        <v>0</v>
      </c>
      <c r="G54" s="1463">
        <f>F54</f>
        <v>0</v>
      </c>
      <c r="H54" s="1463"/>
      <c r="I54" s="1463">
        <v>0</v>
      </c>
      <c r="J54" s="1453">
        <f>'F9_data_A &amp; R'!N56</f>
        <v>0</v>
      </c>
      <c r="K54" s="1453"/>
      <c r="L54" s="1463">
        <v>0</v>
      </c>
      <c r="M54" s="1567">
        <v>0</v>
      </c>
    </row>
    <row r="55" spans="2:13" ht="21.75" customHeight="1">
      <c r="B55" s="127">
        <v>5</v>
      </c>
      <c r="C55" s="20" t="s">
        <v>1221</v>
      </c>
      <c r="D55" s="1574"/>
      <c r="E55" s="1463">
        <f>E52+E53</f>
        <v>2512.92</v>
      </c>
      <c r="F55" s="1453">
        <f>F52+F53-F54</f>
        <v>4201.2089170999998</v>
      </c>
      <c r="G55" s="1453">
        <f>G52+G53-G54</f>
        <v>2542.3533548741166</v>
      </c>
      <c r="H55" s="1453"/>
      <c r="I55" s="1453">
        <f>I52+I53</f>
        <v>4474.92</v>
      </c>
      <c r="J55" s="1453">
        <f>J52+J53-J54</f>
        <v>2422.0333548741164</v>
      </c>
      <c r="K55" s="1453"/>
      <c r="L55" s="1453">
        <f>L52+L53-L54</f>
        <v>4343.0095824335913</v>
      </c>
      <c r="M55" s="1567">
        <f>M52+M53-M54</f>
        <v>5789.3565043819626</v>
      </c>
    </row>
    <row r="56" spans="2:13" ht="34.5" hidden="1" customHeight="1">
      <c r="B56" s="127">
        <v>6</v>
      </c>
      <c r="C56" s="20" t="s">
        <v>1227</v>
      </c>
      <c r="D56" s="1775"/>
      <c r="E56" s="1464">
        <f t="shared" ref="E56:J56" si="6">E51/E52</f>
        <v>4.8099312799348766E-2</v>
      </c>
      <c r="F56" s="1464">
        <f t="shared" si="6"/>
        <v>1.8662617895107217E-2</v>
      </c>
      <c r="G56" s="1776">
        <f t="shared" si="6"/>
        <v>5.8106605838239213E-2</v>
      </c>
      <c r="H56" s="1464"/>
      <c r="I56" s="1475">
        <f t="shared" si="6"/>
        <v>5.2801627960943218E-2</v>
      </c>
      <c r="J56" s="1463">
        <f t="shared" si="6"/>
        <v>5.1550587523992199E-2</v>
      </c>
      <c r="K56" s="1453"/>
      <c r="L56" s="1463">
        <f>G56</f>
        <v>5.8106605838239213E-2</v>
      </c>
      <c r="M56" s="1567">
        <f>M51/M52</f>
        <v>6.1591958206557988E-2</v>
      </c>
    </row>
    <row r="57" spans="2:13" ht="16.5" thickBot="1">
      <c r="B57" s="1777">
        <v>6</v>
      </c>
      <c r="C57" s="1778" t="s">
        <v>1233</v>
      </c>
      <c r="D57" s="1779"/>
      <c r="E57" s="1584">
        <f>E51/((E52+E55)/2)</f>
        <v>4.3940127630873523E-2</v>
      </c>
      <c r="F57" s="1584">
        <f>F51/((F52+F55)/2)</f>
        <v>1.7955646734488368E-2</v>
      </c>
      <c r="G57" s="1780">
        <v>5.28E-2</v>
      </c>
      <c r="H57" s="1584"/>
      <c r="I57" s="1584">
        <f>L57</f>
        <v>5.28E-2</v>
      </c>
      <c r="J57" s="2130">
        <f>G57</f>
        <v>5.28E-2</v>
      </c>
      <c r="K57" s="2130"/>
      <c r="L57" s="1584">
        <f>G57</f>
        <v>5.28E-2</v>
      </c>
      <c r="M57" s="2131">
        <f>J57</f>
        <v>5.28E-2</v>
      </c>
    </row>
    <row r="59" spans="2:13" ht="15" hidden="1" customHeight="1">
      <c r="B59" s="2" t="s">
        <v>1234</v>
      </c>
    </row>
    <row r="60" spans="2:13" ht="15" hidden="1" customHeight="1">
      <c r="B60" s="2" t="s">
        <v>1235</v>
      </c>
    </row>
    <row r="61" spans="2:13" ht="15" hidden="1" customHeight="1">
      <c r="B61" s="2" t="s">
        <v>1442</v>
      </c>
    </row>
    <row r="63" spans="2:13" ht="15" customHeight="1">
      <c r="L63" s="1122"/>
      <c r="M63" s="1122"/>
    </row>
  </sheetData>
  <sheetProtection selectLockedCells="1" selectUnlockedCells="1"/>
  <mergeCells count="37">
    <mergeCell ref="O25:P25"/>
    <mergeCell ref="D25:H25"/>
    <mergeCell ref="J25:N25"/>
    <mergeCell ref="B23:O23"/>
    <mergeCell ref="B48:B49"/>
    <mergeCell ref="C48:C49"/>
    <mergeCell ref="D48:G48"/>
    <mergeCell ref="H48:L48"/>
    <mergeCell ref="B26:C26"/>
    <mergeCell ref="B42:M42"/>
    <mergeCell ref="B43:M43"/>
    <mergeCell ref="B45:M45"/>
    <mergeCell ref="B46:M46"/>
    <mergeCell ref="AD7:AH7"/>
    <mergeCell ref="AI7:AJ7"/>
    <mergeCell ref="S7:W7"/>
    <mergeCell ref="N24:P24"/>
    <mergeCell ref="C20:N20"/>
    <mergeCell ref="B21:P21"/>
    <mergeCell ref="O7:R7"/>
    <mergeCell ref="X7:Y7"/>
    <mergeCell ref="Z7:AC7"/>
    <mergeCell ref="M1:N1"/>
    <mergeCell ref="B2:N2"/>
    <mergeCell ref="B3:N3"/>
    <mergeCell ref="B4:N4"/>
    <mergeCell ref="B5:B8"/>
    <mergeCell ref="C5:C8"/>
    <mergeCell ref="D5:N5"/>
    <mergeCell ref="D7:G7"/>
    <mergeCell ref="H7:L7"/>
    <mergeCell ref="M7:N7"/>
    <mergeCell ref="O5:Y5"/>
    <mergeCell ref="Z5:AJ5"/>
    <mergeCell ref="D6:N6"/>
    <mergeCell ref="O6:Y6"/>
    <mergeCell ref="Z6:AJ6"/>
  </mergeCells>
  <conditionalFormatting sqref="D9:AJ17">
    <cfRule type="cellIs" dxfId="1" priority="1" stopIfTrue="1" operator="lessThan">
      <formula>0</formula>
    </cfRule>
  </conditionalFormatting>
  <dataValidations disablePrompts="1" count="2">
    <dataValidation type="custom" allowBlank="1" showInputMessage="1" showErrorMessage="1" sqref="H38">
      <formula1>SUM(H33:H38)</formula1>
    </dataValidation>
    <dataValidation allowBlank="1" showInputMessage="1" showErrorMessage="1" errorTitle="Error" error="enterDate, No Text please" sqref="E30"/>
  </dataValidations>
  <printOptions horizontalCentered="1"/>
  <pageMargins left="0.7" right="0.7" top="0.75" bottom="0.75" header="0.3" footer="0.3"/>
  <pageSetup paperSize="9" firstPageNumber="7" orientation="landscape" useFirstPageNumber="1" r:id="rId1"/>
  <headerFooter>
    <oddFooter>&amp;R&amp;P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1:M13"/>
  <sheetViews>
    <sheetView view="pageBreakPreview" zoomScale="69" zoomScaleSheetLayoutView="69" workbookViewId="0">
      <selection activeCell="J12" sqref="J12"/>
    </sheetView>
  </sheetViews>
  <sheetFormatPr defaultRowHeight="15.75"/>
  <cols>
    <col min="1" max="1" width="3.140625" style="2" customWidth="1"/>
    <col min="2" max="2" width="8.7109375" style="2" customWidth="1"/>
    <col min="3" max="3" width="55.7109375" style="2" customWidth="1"/>
    <col min="4" max="4" width="11.85546875" style="2" hidden="1" customWidth="1"/>
    <col min="5" max="5" width="10.140625" style="2" hidden="1" customWidth="1"/>
    <col min="6" max="6" width="12" style="2" hidden="1" customWidth="1"/>
    <col min="7" max="7" width="13" style="2" hidden="1" customWidth="1"/>
    <col min="8" max="8" width="15.140625" style="2" customWidth="1"/>
    <col min="9" max="9" width="10.85546875" style="2" customWidth="1"/>
    <col min="10" max="10" width="16.42578125" style="2" customWidth="1"/>
    <col min="11" max="11" width="19.140625" style="2" customWidth="1"/>
    <col min="12" max="12" width="18" style="2" customWidth="1"/>
    <col min="13" max="13" width="17.7109375" style="2" customWidth="1"/>
    <col min="14" max="16384" width="9.140625" style="2"/>
  </cols>
  <sheetData>
    <row r="1" spans="2:13">
      <c r="C1" s="2487"/>
      <c r="D1" s="2487"/>
    </row>
    <row r="2" spans="2:13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</row>
    <row r="3" spans="2:13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</row>
    <row r="4" spans="2:13">
      <c r="B4" s="1843"/>
      <c r="C4" s="1843"/>
      <c r="D4" s="1843"/>
      <c r="E4" s="1843"/>
      <c r="F4" s="1843"/>
      <c r="G4" s="1843"/>
      <c r="H4" s="1843"/>
    </row>
    <row r="5" spans="2:13">
      <c r="B5" s="2419" t="s">
        <v>2579</v>
      </c>
      <c r="C5" s="2419"/>
      <c r="D5" s="2419"/>
      <c r="E5" s="2419"/>
      <c r="F5" s="2419"/>
      <c r="G5" s="2419"/>
      <c r="H5" s="2419"/>
      <c r="I5" s="2419"/>
      <c r="J5" s="2419"/>
      <c r="K5" s="2419"/>
      <c r="L5" s="2419"/>
      <c r="M5" s="2419"/>
    </row>
    <row r="6" spans="2:13">
      <c r="B6" s="2435" t="s">
        <v>388</v>
      </c>
      <c r="C6" s="2435"/>
      <c r="D6" s="2435"/>
      <c r="E6" s="2435"/>
      <c r="F6" s="2435"/>
      <c r="G6" s="2435"/>
      <c r="H6" s="2435"/>
      <c r="I6" s="2435"/>
      <c r="J6" s="2435"/>
      <c r="K6" s="2435"/>
      <c r="L6" s="2435"/>
      <c r="M6" s="2435"/>
    </row>
    <row r="7" spans="2:13" ht="16.5" thickBot="1">
      <c r="D7" s="49" t="s">
        <v>96</v>
      </c>
      <c r="M7" s="1855" t="s">
        <v>97</v>
      </c>
    </row>
    <row r="8" spans="2:13" ht="35.25" customHeight="1">
      <c r="B8" s="2529" t="s">
        <v>349</v>
      </c>
      <c r="C8" s="2528" t="s">
        <v>331</v>
      </c>
      <c r="D8" s="2528" t="s">
        <v>1034</v>
      </c>
      <c r="E8" s="2528"/>
      <c r="F8" s="2528"/>
      <c r="G8" s="2528"/>
      <c r="H8" s="2528" t="s">
        <v>2591</v>
      </c>
      <c r="I8" s="2528"/>
      <c r="J8" s="2528"/>
      <c r="K8" s="2528"/>
      <c r="L8" s="2528"/>
      <c r="M8" s="1858" t="s">
        <v>2592</v>
      </c>
    </row>
    <row r="9" spans="2:13" ht="47.25">
      <c r="B9" s="2530"/>
      <c r="C9" s="2531"/>
      <c r="D9" s="1846" t="s">
        <v>1228</v>
      </c>
      <c r="E9" s="1853" t="s">
        <v>1036</v>
      </c>
      <c r="F9" s="1846" t="s">
        <v>1038</v>
      </c>
      <c r="G9" s="1853" t="s">
        <v>1037</v>
      </c>
      <c r="H9" s="1846" t="s">
        <v>1035</v>
      </c>
      <c r="I9" s="1853" t="s">
        <v>1036</v>
      </c>
      <c r="J9" s="1853" t="s">
        <v>1229</v>
      </c>
      <c r="K9" s="1853" t="s">
        <v>2568</v>
      </c>
      <c r="L9" s="1853" t="s">
        <v>1231</v>
      </c>
      <c r="M9" s="1834" t="s">
        <v>1040</v>
      </c>
    </row>
    <row r="10" spans="2:13" ht="29.25" customHeight="1">
      <c r="B10" s="1852"/>
      <c r="C10" s="1853" t="s">
        <v>2553</v>
      </c>
      <c r="D10" s="1846">
        <v>1</v>
      </c>
      <c r="E10" s="1846">
        <v>2</v>
      </c>
      <c r="F10" s="1846">
        <v>3</v>
      </c>
      <c r="G10" s="1846">
        <v>4</v>
      </c>
      <c r="H10" s="1846">
        <v>1</v>
      </c>
      <c r="I10" s="1846">
        <v>2</v>
      </c>
      <c r="J10" s="1846">
        <v>3</v>
      </c>
      <c r="K10" s="1846">
        <v>4</v>
      </c>
      <c r="L10" s="1846" t="s">
        <v>2578</v>
      </c>
      <c r="M10" s="1834">
        <v>6</v>
      </c>
    </row>
    <row r="11" spans="2:13" ht="33" customHeight="1">
      <c r="B11" s="1782">
        <v>1</v>
      </c>
      <c r="C11" s="1191" t="s">
        <v>387</v>
      </c>
      <c r="D11" s="1781">
        <v>0</v>
      </c>
      <c r="E11" s="122">
        <v>0</v>
      </c>
      <c r="F11" s="122">
        <f>'Schedules of Accounts'!E111</f>
        <v>0</v>
      </c>
      <c r="G11" s="1476">
        <v>0</v>
      </c>
      <c r="H11" s="1463">
        <v>0</v>
      </c>
      <c r="I11" s="1463">
        <v>0</v>
      </c>
      <c r="J11" s="1463"/>
      <c r="K11" s="1463"/>
      <c r="L11" s="1463">
        <f>J11+K11</f>
        <v>0</v>
      </c>
      <c r="M11" s="1567">
        <v>0</v>
      </c>
    </row>
    <row r="12" spans="2:13" ht="25.5" customHeight="1">
      <c r="B12" s="127">
        <v>2</v>
      </c>
      <c r="C12" s="1191" t="s">
        <v>1241</v>
      </c>
      <c r="D12" s="1476"/>
      <c r="E12" s="1476"/>
      <c r="F12" s="1476">
        <v>0.04</v>
      </c>
      <c r="G12" s="1476">
        <f>F12</f>
        <v>0.04</v>
      </c>
      <c r="H12" s="1463"/>
      <c r="I12" s="1463"/>
      <c r="J12" s="1463"/>
      <c r="K12" s="1463">
        <v>0</v>
      </c>
      <c r="L12" s="1463">
        <f>J12+K12</f>
        <v>0</v>
      </c>
      <c r="M12" s="1567">
        <v>0</v>
      </c>
    </row>
    <row r="13" spans="2:13" ht="27" customHeight="1" thickBot="1">
      <c r="B13" s="72"/>
      <c r="C13" s="1783" t="s">
        <v>287</v>
      </c>
      <c r="D13" s="1477"/>
      <c r="E13" s="1477"/>
      <c r="F13" s="1477">
        <f>SUM(F11:F12)</f>
        <v>0.04</v>
      </c>
      <c r="G13" s="1477">
        <f>SUM(G11:G12)</f>
        <v>0.04</v>
      </c>
      <c r="H13" s="179"/>
      <c r="I13" s="179"/>
      <c r="J13" s="179">
        <f>SUM(J11:J12)</f>
        <v>0</v>
      </c>
      <c r="K13" s="179">
        <f>SUM(K11:K12)</f>
        <v>0</v>
      </c>
      <c r="L13" s="179">
        <f>SUM(L11:L12)</f>
        <v>0</v>
      </c>
      <c r="M13" s="1569">
        <f>SUM(M11:M12)</f>
        <v>0</v>
      </c>
    </row>
  </sheetData>
  <sheetProtection selectLockedCells="1" selectUnlockedCells="1"/>
  <mergeCells count="9">
    <mergeCell ref="B6:M6"/>
    <mergeCell ref="B5:M5"/>
    <mergeCell ref="H8:L8"/>
    <mergeCell ref="C1:D1"/>
    <mergeCell ref="B8:B9"/>
    <mergeCell ref="C8:C9"/>
    <mergeCell ref="D8:G8"/>
    <mergeCell ref="B2:M2"/>
    <mergeCell ref="B3:M3"/>
  </mergeCells>
  <phoneticPr fontId="14" type="noConversion"/>
  <printOptions horizontalCentered="1"/>
  <pageMargins left="0.7" right="0.7" top="0.75" bottom="0.75" header="0.3" footer="0.3"/>
  <pageSetup paperSize="9" scale="79" firstPageNumber="8" orientation="landscape" useFirstPageNumber="1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1:M91"/>
  <sheetViews>
    <sheetView view="pageBreakPreview" zoomScale="69" zoomScaleSheetLayoutView="69" workbookViewId="0">
      <selection activeCell="L51" sqref="L51"/>
    </sheetView>
  </sheetViews>
  <sheetFormatPr defaultRowHeight="15.75"/>
  <cols>
    <col min="1" max="1" width="9.140625" style="1"/>
    <col min="2" max="2" width="7.85546875" style="16" customWidth="1"/>
    <col min="3" max="3" width="54.85546875" style="11" customWidth="1"/>
    <col min="4" max="4" width="12.140625" style="11" hidden="1" customWidth="1"/>
    <col min="5" max="5" width="12.28515625" style="11" hidden="1" customWidth="1"/>
    <col min="6" max="7" width="15" style="11" hidden="1" customWidth="1"/>
    <col min="8" max="8" width="18.42578125" style="1" hidden="1" customWidth="1"/>
    <col min="9" max="9" width="15.28515625" style="1" hidden="1" customWidth="1"/>
    <col min="10" max="10" width="17.85546875" style="1" customWidth="1"/>
    <col min="11" max="11" width="19.7109375" style="1" customWidth="1"/>
    <col min="12" max="12" width="18.5703125" style="1" customWidth="1"/>
    <col min="13" max="13" width="21.140625" style="1" customWidth="1"/>
    <col min="14" max="16384" width="9.140625" style="1"/>
  </cols>
  <sheetData>
    <row r="1" spans="2:13" ht="15.75" customHeight="1">
      <c r="B1" s="2418" t="s">
        <v>2549</v>
      </c>
      <c r="C1" s="2418"/>
      <c r="D1" s="2418"/>
      <c r="E1" s="2418"/>
      <c r="F1" s="2418"/>
      <c r="G1" s="2418"/>
      <c r="H1" s="2418"/>
      <c r="I1" s="2418"/>
      <c r="J1" s="2418"/>
      <c r="K1" s="2418"/>
      <c r="L1" s="2418"/>
      <c r="M1" s="2418"/>
    </row>
    <row r="2" spans="2:13" ht="15.75" customHeight="1">
      <c r="B2" s="2419" t="s">
        <v>2689</v>
      </c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</row>
    <row r="3" spans="2:13" ht="15.75" customHeight="1">
      <c r="B3" s="1843"/>
      <c r="C3" s="1843"/>
      <c r="D3" s="1843"/>
      <c r="E3" s="1843"/>
      <c r="F3" s="1843"/>
      <c r="G3" s="1843"/>
      <c r="H3" s="1843"/>
      <c r="I3" s="1843"/>
      <c r="J3" s="1843"/>
      <c r="K3" s="1843"/>
      <c r="L3" s="1843"/>
      <c r="M3" s="1843"/>
    </row>
    <row r="4" spans="2:13" ht="15.75" customHeight="1">
      <c r="B4" s="2419" t="s">
        <v>2580</v>
      </c>
      <c r="C4" s="2419"/>
      <c r="D4" s="2419"/>
      <c r="E4" s="2419"/>
      <c r="F4" s="2419"/>
      <c r="G4" s="2419"/>
      <c r="H4" s="2419"/>
      <c r="I4" s="2419"/>
      <c r="J4" s="2419"/>
      <c r="K4" s="2419"/>
      <c r="L4" s="2419"/>
      <c r="M4" s="2419"/>
    </row>
    <row r="5" spans="2:13">
      <c r="B5" s="2533" t="s">
        <v>345</v>
      </c>
      <c r="C5" s="2533"/>
      <c r="D5" s="2533"/>
      <c r="E5" s="2533"/>
      <c r="F5" s="2533"/>
      <c r="G5" s="2533"/>
      <c r="H5" s="2533"/>
      <c r="I5" s="2533"/>
      <c r="J5" s="2533"/>
      <c r="K5" s="2533"/>
      <c r="L5" s="2533"/>
      <c r="M5" s="2533"/>
    </row>
    <row r="6" spans="2:13" ht="16.5" thickBot="1">
      <c r="B6" s="70">
        <v>0</v>
      </c>
      <c r="C6" s="21">
        <f>+B6</f>
        <v>0</v>
      </c>
      <c r="D6" s="287"/>
      <c r="E6" s="287"/>
      <c r="F6" s="287"/>
      <c r="G6" s="287"/>
      <c r="M6" s="1467" t="s">
        <v>96</v>
      </c>
    </row>
    <row r="7" spans="2:13" ht="36" customHeight="1">
      <c r="B7" s="2448" t="s">
        <v>349</v>
      </c>
      <c r="C7" s="2450" t="s">
        <v>331</v>
      </c>
      <c r="D7" s="2450" t="s">
        <v>1034</v>
      </c>
      <c r="E7" s="2450"/>
      <c r="F7" s="2450"/>
      <c r="G7" s="2450"/>
      <c r="H7" s="2450" t="s">
        <v>2591</v>
      </c>
      <c r="I7" s="2450"/>
      <c r="J7" s="2450"/>
      <c r="K7" s="2450"/>
      <c r="L7" s="2450"/>
      <c r="M7" s="2142" t="s">
        <v>2592</v>
      </c>
    </row>
    <row r="8" spans="2:13" ht="32.25" customHeight="1">
      <c r="B8" s="2449"/>
      <c r="C8" s="2451"/>
      <c r="D8" s="2140" t="s">
        <v>1228</v>
      </c>
      <c r="E8" s="2144" t="s">
        <v>1036</v>
      </c>
      <c r="F8" s="2140" t="s">
        <v>1038</v>
      </c>
      <c r="G8" s="2144" t="s">
        <v>1037</v>
      </c>
      <c r="H8" s="2140" t="s">
        <v>1035</v>
      </c>
      <c r="I8" s="2144" t="s">
        <v>1036</v>
      </c>
      <c r="J8" s="2144" t="s">
        <v>1229</v>
      </c>
      <c r="K8" s="2144" t="s">
        <v>2569</v>
      </c>
      <c r="L8" s="2144" t="s">
        <v>1231</v>
      </c>
      <c r="M8" s="2141" t="s">
        <v>1040</v>
      </c>
    </row>
    <row r="9" spans="2:13" ht="21" customHeight="1">
      <c r="B9" s="2145"/>
      <c r="C9" s="2144" t="s">
        <v>2553</v>
      </c>
      <c r="D9" s="2140">
        <v>1</v>
      </c>
      <c r="E9" s="2140">
        <v>2</v>
      </c>
      <c r="F9" s="2140">
        <v>3</v>
      </c>
      <c r="G9" s="2140">
        <v>4</v>
      </c>
      <c r="H9" s="2140">
        <v>1</v>
      </c>
      <c r="I9" s="2140">
        <v>2</v>
      </c>
      <c r="J9" s="2140">
        <v>3</v>
      </c>
      <c r="K9" s="2140">
        <v>4</v>
      </c>
      <c r="L9" s="2140" t="s">
        <v>2578</v>
      </c>
      <c r="M9" s="2141">
        <v>6</v>
      </c>
    </row>
    <row r="10" spans="2:13">
      <c r="B10" s="1850"/>
      <c r="C10" s="1720"/>
      <c r="D10" s="1573"/>
      <c r="E10" s="1573"/>
      <c r="F10" s="1573"/>
      <c r="G10" s="1573"/>
      <c r="H10" s="1784"/>
      <c r="I10" s="1784"/>
      <c r="J10" s="1784"/>
      <c r="K10" s="1784"/>
      <c r="L10" s="1395"/>
      <c r="M10" s="1785"/>
    </row>
    <row r="11" spans="2:13" ht="19.5" customHeight="1">
      <c r="B11" s="1850">
        <v>1</v>
      </c>
      <c r="C11" s="1772" t="s">
        <v>2665</v>
      </c>
      <c r="D11" s="1784">
        <v>0</v>
      </c>
      <c r="E11" s="1784">
        <v>0</v>
      </c>
      <c r="F11" s="1784">
        <v>0</v>
      </c>
      <c r="G11" s="1784">
        <v>0</v>
      </c>
      <c r="H11" s="1784">
        <v>0</v>
      </c>
      <c r="I11" s="1784">
        <v>0</v>
      </c>
      <c r="J11" s="1784">
        <v>0</v>
      </c>
      <c r="K11" s="1784">
        <v>0</v>
      </c>
      <c r="L11" s="1395">
        <f t="shared" ref="L11:L28" si="0">SUM(J11:K11)</f>
        <v>0</v>
      </c>
      <c r="M11" s="1785">
        <f>L11</f>
        <v>0</v>
      </c>
    </row>
    <row r="12" spans="2:13" ht="19.5" customHeight="1">
      <c r="B12" s="1850">
        <v>2</v>
      </c>
      <c r="C12" s="1772" t="s">
        <v>2382</v>
      </c>
      <c r="D12" s="1784">
        <v>0</v>
      </c>
      <c r="E12" s="1784">
        <v>0</v>
      </c>
      <c r="F12" s="1784">
        <v>0</v>
      </c>
      <c r="G12" s="1784">
        <v>0</v>
      </c>
      <c r="H12" s="1784">
        <v>0</v>
      </c>
      <c r="I12" s="1784">
        <v>0</v>
      </c>
      <c r="J12" s="1784">
        <v>0</v>
      </c>
      <c r="K12" s="1784">
        <v>0</v>
      </c>
      <c r="L12" s="1395">
        <f t="shared" si="0"/>
        <v>0</v>
      </c>
      <c r="M12" s="1785">
        <f t="shared" ref="M12:M28" si="1">L12</f>
        <v>0</v>
      </c>
    </row>
    <row r="13" spans="2:13" ht="39" customHeight="1">
      <c r="B13" s="1850">
        <v>3</v>
      </c>
      <c r="C13" s="1772" t="s">
        <v>2666</v>
      </c>
      <c r="D13" s="1784">
        <v>0</v>
      </c>
      <c r="E13" s="1784">
        <v>0</v>
      </c>
      <c r="F13" s="1784">
        <v>0</v>
      </c>
      <c r="G13" s="1784">
        <v>0</v>
      </c>
      <c r="H13" s="1784">
        <v>0</v>
      </c>
      <c r="I13" s="1784">
        <v>0</v>
      </c>
      <c r="J13" s="1784">
        <v>0</v>
      </c>
      <c r="K13" s="1784">
        <v>0</v>
      </c>
      <c r="L13" s="1395">
        <f t="shared" si="0"/>
        <v>0</v>
      </c>
      <c r="M13" s="1785">
        <f t="shared" si="1"/>
        <v>0</v>
      </c>
    </row>
    <row r="14" spans="2:13" ht="19.5" customHeight="1">
      <c r="B14" s="1850">
        <v>4</v>
      </c>
      <c r="C14" s="1772" t="s">
        <v>2667</v>
      </c>
      <c r="D14" s="1784">
        <v>0</v>
      </c>
      <c r="E14" s="1784">
        <v>0</v>
      </c>
      <c r="F14" s="1784">
        <v>0</v>
      </c>
      <c r="G14" s="1784">
        <v>0</v>
      </c>
      <c r="H14" s="1784">
        <v>0</v>
      </c>
      <c r="I14" s="1784">
        <v>0</v>
      </c>
      <c r="J14" s="1784">
        <v>0</v>
      </c>
      <c r="K14" s="1784">
        <v>0</v>
      </c>
      <c r="L14" s="1395">
        <f t="shared" si="0"/>
        <v>0</v>
      </c>
      <c r="M14" s="1785">
        <f t="shared" si="1"/>
        <v>0</v>
      </c>
    </row>
    <row r="15" spans="2:13" s="147" customFormat="1" ht="19.5" customHeight="1">
      <c r="B15" s="1850">
        <v>5</v>
      </c>
      <c r="C15" s="1772" t="s">
        <v>347</v>
      </c>
      <c r="D15" s="1784">
        <v>0</v>
      </c>
      <c r="E15" s="1784">
        <v>0</v>
      </c>
      <c r="F15" s="1784">
        <v>0</v>
      </c>
      <c r="G15" s="1784">
        <v>0</v>
      </c>
      <c r="H15" s="1395">
        <v>0</v>
      </c>
      <c r="I15" s="1395">
        <v>13.05</v>
      </c>
      <c r="J15" s="1395">
        <v>4.2243878000000006</v>
      </c>
      <c r="K15" s="1395">
        <v>0.88</v>
      </c>
      <c r="L15" s="1395">
        <f t="shared" ref="L15" si="2">SUM(J15:K15)</f>
        <v>5.1043878000000005</v>
      </c>
      <c r="M15" s="1785">
        <v>2</v>
      </c>
    </row>
    <row r="16" spans="2:13" ht="19.5" customHeight="1">
      <c r="B16" s="1850">
        <v>6</v>
      </c>
      <c r="C16" s="1772" t="s">
        <v>2669</v>
      </c>
      <c r="D16" s="1784">
        <v>0</v>
      </c>
      <c r="E16" s="1784">
        <v>0</v>
      </c>
      <c r="F16" s="1784">
        <v>0</v>
      </c>
      <c r="G16" s="1784">
        <v>0</v>
      </c>
      <c r="H16" s="1784">
        <v>0</v>
      </c>
      <c r="I16" s="1784">
        <v>0</v>
      </c>
      <c r="J16" s="1784">
        <v>0</v>
      </c>
      <c r="K16" s="1784">
        <v>0</v>
      </c>
      <c r="L16" s="1395">
        <f t="shared" si="0"/>
        <v>0</v>
      </c>
      <c r="M16" s="1785">
        <f t="shared" si="1"/>
        <v>0</v>
      </c>
    </row>
    <row r="17" spans="2:13" ht="19.5" customHeight="1">
      <c r="B17" s="1850">
        <v>7</v>
      </c>
      <c r="C17" s="1771" t="s">
        <v>2668</v>
      </c>
      <c r="D17" s="1784">
        <v>0</v>
      </c>
      <c r="E17" s="1784">
        <v>0</v>
      </c>
      <c r="F17" s="1784">
        <v>0</v>
      </c>
      <c r="G17" s="1784">
        <v>0</v>
      </c>
      <c r="H17" s="1784">
        <v>0</v>
      </c>
      <c r="I17" s="1784">
        <v>0</v>
      </c>
      <c r="J17" s="1784">
        <v>0</v>
      </c>
      <c r="K17" s="1784">
        <v>0</v>
      </c>
      <c r="L17" s="1395">
        <f t="shared" si="0"/>
        <v>0</v>
      </c>
      <c r="M17" s="1785">
        <f t="shared" si="1"/>
        <v>0</v>
      </c>
    </row>
    <row r="18" spans="2:13" ht="19.5" customHeight="1">
      <c r="B18" s="1850">
        <v>8</v>
      </c>
      <c r="C18" s="1772" t="s">
        <v>2670</v>
      </c>
      <c r="D18" s="1784">
        <v>0</v>
      </c>
      <c r="E18" s="1784">
        <v>0</v>
      </c>
      <c r="F18" s="1784">
        <v>0</v>
      </c>
      <c r="G18" s="1784">
        <v>0</v>
      </c>
      <c r="H18" s="1784">
        <v>0</v>
      </c>
      <c r="I18" s="1784">
        <v>0</v>
      </c>
      <c r="J18" s="1784">
        <v>0</v>
      </c>
      <c r="K18" s="1784">
        <v>0</v>
      </c>
      <c r="L18" s="1395">
        <f t="shared" si="0"/>
        <v>0</v>
      </c>
      <c r="M18" s="1785">
        <f t="shared" si="1"/>
        <v>0</v>
      </c>
    </row>
    <row r="19" spans="2:13" ht="19.5" customHeight="1">
      <c r="B19" s="1850">
        <v>9</v>
      </c>
      <c r="C19" s="1772" t="s">
        <v>2671</v>
      </c>
      <c r="D19" s="1784">
        <v>0</v>
      </c>
      <c r="E19" s="1784">
        <v>0</v>
      </c>
      <c r="F19" s="1784">
        <v>0</v>
      </c>
      <c r="G19" s="1784">
        <v>0</v>
      </c>
      <c r="H19" s="1784">
        <v>0</v>
      </c>
      <c r="I19" s="1784">
        <v>0</v>
      </c>
      <c r="J19" s="1784">
        <v>0</v>
      </c>
      <c r="K19" s="1784">
        <v>0</v>
      </c>
      <c r="L19" s="1395">
        <f t="shared" si="0"/>
        <v>0</v>
      </c>
      <c r="M19" s="1785">
        <f t="shared" si="1"/>
        <v>0</v>
      </c>
    </row>
    <row r="20" spans="2:13" ht="19.5" customHeight="1">
      <c r="B20" s="1850">
        <v>10</v>
      </c>
      <c r="C20" s="1772" t="s">
        <v>2672</v>
      </c>
      <c r="D20" s="1784">
        <v>0</v>
      </c>
      <c r="E20" s="1784">
        <v>0</v>
      </c>
      <c r="F20" s="1784">
        <v>0</v>
      </c>
      <c r="G20" s="1784">
        <v>0</v>
      </c>
      <c r="H20" s="1784">
        <v>0</v>
      </c>
      <c r="I20" s="1784">
        <v>0</v>
      </c>
      <c r="J20" s="1784">
        <v>0</v>
      </c>
      <c r="K20" s="1784">
        <v>0</v>
      </c>
      <c r="L20" s="1395">
        <f t="shared" si="0"/>
        <v>0</v>
      </c>
      <c r="M20" s="1785">
        <f t="shared" si="1"/>
        <v>0</v>
      </c>
    </row>
    <row r="21" spans="2:13" ht="18.75" customHeight="1">
      <c r="B21" s="1850">
        <v>11</v>
      </c>
      <c r="C21" s="1772" t="s">
        <v>1254</v>
      </c>
      <c r="D21" s="1784">
        <v>0</v>
      </c>
      <c r="E21" s="1784">
        <v>0</v>
      </c>
      <c r="F21" s="1784">
        <v>0</v>
      </c>
      <c r="G21" s="1784">
        <v>0</v>
      </c>
      <c r="H21" s="1784">
        <v>0</v>
      </c>
      <c r="I21" s="1784">
        <v>0</v>
      </c>
      <c r="J21" s="1784">
        <v>0</v>
      </c>
      <c r="K21" s="1784">
        <v>0</v>
      </c>
      <c r="L21" s="1395">
        <f t="shared" si="0"/>
        <v>0</v>
      </c>
      <c r="M21" s="1785">
        <f t="shared" si="1"/>
        <v>0</v>
      </c>
    </row>
    <row r="22" spans="2:13" ht="31.5">
      <c r="B22" s="1850">
        <v>12</v>
      </c>
      <c r="C22" s="1772" t="s">
        <v>346</v>
      </c>
      <c r="D22" s="1784"/>
      <c r="E22" s="1784"/>
      <c r="F22" s="1784"/>
      <c r="G22" s="1784"/>
      <c r="H22" s="1395">
        <v>0</v>
      </c>
      <c r="I22" s="1395">
        <f t="shared" ref="I22" si="3">H22</f>
        <v>0</v>
      </c>
      <c r="J22" s="1395">
        <v>0.18937190000000001</v>
      </c>
      <c r="K22" s="1395">
        <v>0.18937190000000001</v>
      </c>
      <c r="L22" s="1395">
        <f t="shared" ref="L22" si="4">SUM(J22:K22)</f>
        <v>0.37874380000000002</v>
      </c>
      <c r="M22" s="1785">
        <f t="shared" si="1"/>
        <v>0.37874380000000002</v>
      </c>
    </row>
    <row r="23" spans="2:13" ht="18.75" customHeight="1">
      <c r="B23" s="1850">
        <v>13</v>
      </c>
      <c r="C23" s="1772" t="s">
        <v>348</v>
      </c>
      <c r="D23" s="1784">
        <v>0</v>
      </c>
      <c r="E23" s="1784">
        <v>0</v>
      </c>
      <c r="F23" s="1784">
        <v>0</v>
      </c>
      <c r="G23" s="1784">
        <v>0</v>
      </c>
      <c r="H23" s="1395">
        <v>0</v>
      </c>
      <c r="I23" s="1395">
        <f t="shared" ref="I23" si="5">H23</f>
        <v>0</v>
      </c>
      <c r="J23" s="1395">
        <v>0.14000000000000001</v>
      </c>
      <c r="K23" s="1395">
        <v>0.14000000000000001</v>
      </c>
      <c r="L23" s="1395">
        <f t="shared" ref="L23" si="6">SUM(J23:K23)</f>
        <v>0.28000000000000003</v>
      </c>
      <c r="M23" s="1785">
        <f t="shared" si="1"/>
        <v>0.28000000000000003</v>
      </c>
    </row>
    <row r="24" spans="2:13" ht="19.5" customHeight="1">
      <c r="B24" s="1850">
        <v>14</v>
      </c>
      <c r="C24" s="1772" t="s">
        <v>2673</v>
      </c>
      <c r="D24" s="1784">
        <v>0</v>
      </c>
      <c r="E24" s="1784">
        <v>0</v>
      </c>
      <c r="F24" s="1784">
        <v>0</v>
      </c>
      <c r="G24" s="1784">
        <v>0</v>
      </c>
      <c r="H24" s="1784">
        <v>0</v>
      </c>
      <c r="I24" s="1784">
        <v>0</v>
      </c>
      <c r="J24" s="1784">
        <v>0</v>
      </c>
      <c r="K24" s="1784">
        <v>0</v>
      </c>
      <c r="L24" s="1395">
        <f t="shared" si="0"/>
        <v>0</v>
      </c>
      <c r="M24" s="1785">
        <f t="shared" si="1"/>
        <v>0</v>
      </c>
    </row>
    <row r="25" spans="2:13" ht="19.5" customHeight="1">
      <c r="B25" s="1850">
        <v>15</v>
      </c>
      <c r="C25" s="1772" t="s">
        <v>2674</v>
      </c>
      <c r="D25" s="1784">
        <v>0</v>
      </c>
      <c r="E25" s="1784">
        <v>0</v>
      </c>
      <c r="F25" s="1784">
        <v>0</v>
      </c>
      <c r="G25" s="1784">
        <v>0</v>
      </c>
      <c r="H25" s="1784">
        <v>0</v>
      </c>
      <c r="I25" s="1784">
        <v>0</v>
      </c>
      <c r="J25" s="1784">
        <v>0</v>
      </c>
      <c r="K25" s="1784">
        <v>0</v>
      </c>
      <c r="L25" s="1395">
        <f t="shared" si="0"/>
        <v>0</v>
      </c>
      <c r="M25" s="1785">
        <f t="shared" si="1"/>
        <v>0</v>
      </c>
    </row>
    <row r="26" spans="2:13" ht="40.5" customHeight="1">
      <c r="B26" s="1850">
        <v>16</v>
      </c>
      <c r="C26" s="1772" t="s">
        <v>2675</v>
      </c>
      <c r="D26" s="1784">
        <v>0</v>
      </c>
      <c r="E26" s="1784">
        <v>0</v>
      </c>
      <c r="F26" s="1784">
        <v>0</v>
      </c>
      <c r="G26" s="1784">
        <v>0</v>
      </c>
      <c r="H26" s="1784">
        <v>0</v>
      </c>
      <c r="I26" s="1784">
        <v>0</v>
      </c>
      <c r="J26" s="1784">
        <v>0</v>
      </c>
      <c r="K26" s="1784">
        <v>0</v>
      </c>
      <c r="L26" s="1395">
        <f t="shared" si="0"/>
        <v>0</v>
      </c>
      <c r="M26" s="1785">
        <f t="shared" si="1"/>
        <v>0</v>
      </c>
    </row>
    <row r="27" spans="2:13" ht="19.5" customHeight="1">
      <c r="B27" s="1850">
        <v>17</v>
      </c>
      <c r="C27" s="1772" t="s">
        <v>399</v>
      </c>
      <c r="D27" s="1784">
        <v>0</v>
      </c>
      <c r="E27" s="1784">
        <v>0</v>
      </c>
      <c r="F27" s="1784">
        <v>0</v>
      </c>
      <c r="G27" s="1784">
        <v>0</v>
      </c>
      <c r="H27" s="1784">
        <v>0</v>
      </c>
      <c r="I27" s="1784">
        <v>0</v>
      </c>
      <c r="J27" s="1784">
        <v>0</v>
      </c>
      <c r="K27" s="1784">
        <v>0</v>
      </c>
      <c r="L27" s="1395">
        <f t="shared" si="0"/>
        <v>0</v>
      </c>
      <c r="M27" s="1785">
        <v>0</v>
      </c>
    </row>
    <row r="28" spans="2:13" ht="47.25">
      <c r="B28" s="1850">
        <v>18</v>
      </c>
      <c r="C28" s="1772" t="s">
        <v>2676</v>
      </c>
      <c r="D28" s="1784">
        <v>0</v>
      </c>
      <c r="E28" s="1784">
        <v>0</v>
      </c>
      <c r="F28" s="1784">
        <v>0</v>
      </c>
      <c r="G28" s="1784">
        <v>0</v>
      </c>
      <c r="H28" s="1784">
        <v>0</v>
      </c>
      <c r="I28" s="1784">
        <v>0</v>
      </c>
      <c r="J28" s="1784">
        <v>0</v>
      </c>
      <c r="K28" s="1784">
        <v>0</v>
      </c>
      <c r="L28" s="1395">
        <f t="shared" si="0"/>
        <v>0</v>
      </c>
      <c r="M28" s="1785">
        <f t="shared" si="1"/>
        <v>0</v>
      </c>
    </row>
    <row r="29" spans="2:13" ht="19.5" customHeight="1" thickBot="1">
      <c r="B29" s="1786"/>
      <c r="C29" s="1787" t="s">
        <v>2298</v>
      </c>
      <c r="D29" s="1788">
        <f t="shared" ref="D29" si="7">SUM(D11:D28)</f>
        <v>0</v>
      </c>
      <c r="E29" s="1788">
        <f t="shared" ref="E29" si="8">SUM(E11:E28)</f>
        <v>0</v>
      </c>
      <c r="F29" s="1788">
        <f t="shared" ref="F29" si="9">SUM(F11:F28)</f>
        <v>0</v>
      </c>
      <c r="G29" s="1788">
        <f t="shared" ref="G29" si="10">SUM(G11:G28)</f>
        <v>0</v>
      </c>
      <c r="H29" s="1828">
        <f t="shared" ref="H29" si="11">SUM(H11:H28)</f>
        <v>0</v>
      </c>
      <c r="I29" s="1828">
        <f t="shared" ref="I29" si="12">SUM(I11:I28)</f>
        <v>13.05</v>
      </c>
      <c r="J29" s="1828">
        <f t="shared" ref="J29" si="13">SUM(J11:J28)</f>
        <v>4.5537597000000005</v>
      </c>
      <c r="K29" s="1828">
        <f t="shared" ref="K29" si="14">SUM(K11:K28)</f>
        <v>1.2093718999999998</v>
      </c>
      <c r="L29" s="1828">
        <f t="shared" ref="L29" si="15">SUM(L11:L28)</f>
        <v>5.7631316000000004</v>
      </c>
      <c r="M29" s="1829">
        <f>SUM(M11:M28)</f>
        <v>2.6587437999999999</v>
      </c>
    </row>
    <row r="30" spans="2:13">
      <c r="C30" s="22"/>
      <c r="D30" s="12"/>
      <c r="E30" s="12"/>
      <c r="F30" s="12"/>
      <c r="G30" s="12"/>
    </row>
    <row r="31" spans="2:13">
      <c r="C31" s="12"/>
      <c r="D31" s="12"/>
      <c r="E31" s="12"/>
      <c r="F31" s="12"/>
      <c r="G31" s="12"/>
    </row>
    <row r="32" spans="2:13">
      <c r="C32" s="12"/>
      <c r="D32" s="12"/>
      <c r="E32" s="12"/>
      <c r="F32" s="12"/>
      <c r="G32" s="12"/>
    </row>
    <row r="33" spans="2:10" hidden="1">
      <c r="C33" s="12"/>
      <c r="D33" s="12"/>
      <c r="E33" s="12"/>
      <c r="F33" s="12"/>
      <c r="G33" s="12"/>
    </row>
    <row r="34" spans="2:10" hidden="1">
      <c r="C34" s="12"/>
      <c r="D34" s="12"/>
      <c r="E34" s="12"/>
      <c r="F34" s="12"/>
      <c r="G34" s="12"/>
    </row>
    <row r="35" spans="2:10" hidden="1">
      <c r="C35" s="12"/>
      <c r="D35" s="12"/>
      <c r="E35" s="12"/>
      <c r="F35" s="12"/>
      <c r="G35" s="12"/>
    </row>
    <row r="36" spans="2:10" hidden="1">
      <c r="B36" s="2474" t="s">
        <v>1003</v>
      </c>
      <c r="C36" s="2474" t="s">
        <v>331</v>
      </c>
      <c r="D36" s="2532" t="s">
        <v>425</v>
      </c>
      <c r="E36" s="2532"/>
      <c r="F36" s="2472" t="s">
        <v>1751</v>
      </c>
      <c r="G36" s="2472"/>
      <c r="H36" s="2472"/>
      <c r="I36" s="2472"/>
      <c r="J36" s="1130" t="s">
        <v>1752</v>
      </c>
    </row>
    <row r="37" spans="2:10" hidden="1">
      <c r="B37" s="2474"/>
      <c r="C37" s="2474"/>
      <c r="D37" s="1131" t="s">
        <v>1036</v>
      </c>
      <c r="E37" s="1131" t="s">
        <v>1037</v>
      </c>
      <c r="F37" s="1849" t="s">
        <v>1036</v>
      </c>
      <c r="G37" s="1849" t="s">
        <v>1943</v>
      </c>
      <c r="H37" s="1849" t="s">
        <v>1944</v>
      </c>
      <c r="I37" s="1849" t="s">
        <v>2256</v>
      </c>
      <c r="J37" s="1130" t="s">
        <v>1040</v>
      </c>
    </row>
    <row r="38" spans="2:10" hidden="1">
      <c r="B38" s="992">
        <v>1</v>
      </c>
      <c r="C38" s="14" t="s">
        <v>2255</v>
      </c>
      <c r="D38" s="1129">
        <f>E29</f>
        <v>0</v>
      </c>
      <c r="E38" s="1847">
        <f>G29</f>
        <v>0</v>
      </c>
      <c r="F38" s="1847">
        <f>I29</f>
        <v>13.05</v>
      </c>
      <c r="G38" s="1847">
        <f>J29</f>
        <v>4.5537597000000005</v>
      </c>
      <c r="H38" s="1847">
        <f>K29</f>
        <v>1.2093718999999998</v>
      </c>
      <c r="I38" s="1847">
        <f>L29</f>
        <v>5.7631316000000004</v>
      </c>
      <c r="J38" s="1847">
        <f>M29</f>
        <v>2.6587437999999999</v>
      </c>
    </row>
    <row r="39" spans="2:10" hidden="1">
      <c r="C39" s="12"/>
      <c r="D39" s="12"/>
      <c r="E39" s="12"/>
      <c r="F39" s="12"/>
      <c r="G39" s="12"/>
    </row>
    <row r="40" spans="2:10" hidden="1">
      <c r="C40" s="12"/>
      <c r="D40" s="12"/>
      <c r="E40" s="12"/>
      <c r="F40" s="12"/>
      <c r="G40" s="12"/>
    </row>
    <row r="41" spans="2:10" hidden="1">
      <c r="C41" s="12"/>
      <c r="D41" s="12"/>
      <c r="E41" s="12"/>
      <c r="F41" s="12"/>
      <c r="G41" s="12"/>
    </row>
    <row r="42" spans="2:10">
      <c r="C42" s="12"/>
      <c r="D42" s="12"/>
      <c r="E42" s="12"/>
      <c r="F42" s="12"/>
      <c r="G42" s="12"/>
    </row>
    <row r="43" spans="2:10">
      <c r="C43" s="12"/>
      <c r="D43" s="12"/>
      <c r="E43" s="12"/>
      <c r="F43" s="12"/>
      <c r="G43" s="12"/>
    </row>
    <row r="44" spans="2:10">
      <c r="C44" s="12"/>
      <c r="D44" s="12"/>
      <c r="E44" s="12"/>
      <c r="F44" s="12"/>
      <c r="G44" s="12"/>
    </row>
    <row r="45" spans="2:10">
      <c r="C45" s="12"/>
      <c r="D45" s="12"/>
      <c r="E45" s="12"/>
      <c r="F45" s="12"/>
      <c r="G45" s="12"/>
    </row>
    <row r="46" spans="2:10">
      <c r="C46" s="12"/>
      <c r="D46" s="12"/>
      <c r="E46" s="12"/>
      <c r="F46" s="12"/>
      <c r="G46" s="12"/>
    </row>
    <row r="47" spans="2:10">
      <c r="C47" s="12"/>
      <c r="D47" s="12"/>
      <c r="E47" s="12"/>
      <c r="F47" s="12"/>
      <c r="G47" s="12"/>
    </row>
    <row r="48" spans="2:10">
      <c r="C48" s="12"/>
      <c r="D48" s="12"/>
      <c r="E48" s="12"/>
      <c r="F48" s="12"/>
      <c r="G48" s="12"/>
    </row>
    <row r="49" spans="3:7">
      <c r="C49" s="12"/>
      <c r="D49" s="12"/>
      <c r="E49" s="12"/>
      <c r="F49" s="12"/>
      <c r="G49" s="12"/>
    </row>
    <row r="50" spans="3:7">
      <c r="C50" s="12"/>
      <c r="D50" s="12"/>
      <c r="E50" s="12"/>
      <c r="F50" s="12"/>
      <c r="G50" s="12"/>
    </row>
    <row r="51" spans="3:7">
      <c r="C51" s="12"/>
      <c r="D51" s="12"/>
      <c r="E51" s="12"/>
      <c r="F51" s="12"/>
      <c r="G51" s="12"/>
    </row>
    <row r="52" spans="3:7">
      <c r="C52" s="12"/>
      <c r="D52" s="12"/>
      <c r="E52" s="12"/>
      <c r="F52" s="12"/>
      <c r="G52" s="12"/>
    </row>
    <row r="53" spans="3:7">
      <c r="C53" s="12"/>
      <c r="D53" s="12"/>
      <c r="E53" s="12"/>
      <c r="F53" s="12"/>
      <c r="G53" s="12"/>
    </row>
    <row r="54" spans="3:7">
      <c r="C54" s="12"/>
      <c r="D54" s="12"/>
      <c r="E54" s="12"/>
      <c r="F54" s="12"/>
      <c r="G54" s="12"/>
    </row>
    <row r="55" spans="3:7">
      <c r="C55" s="12"/>
      <c r="D55" s="12"/>
      <c r="E55" s="12"/>
      <c r="F55" s="12"/>
      <c r="G55" s="12"/>
    </row>
    <row r="56" spans="3:7">
      <c r="C56" s="12"/>
      <c r="D56" s="12"/>
      <c r="E56" s="12"/>
      <c r="F56" s="12"/>
      <c r="G56" s="12"/>
    </row>
    <row r="57" spans="3:7">
      <c r="C57" s="12"/>
      <c r="D57" s="12"/>
      <c r="E57" s="12"/>
      <c r="F57" s="12"/>
      <c r="G57" s="12"/>
    </row>
    <row r="58" spans="3:7">
      <c r="C58" s="12"/>
      <c r="D58" s="12"/>
      <c r="E58" s="12"/>
      <c r="F58" s="12"/>
      <c r="G58" s="12"/>
    </row>
    <row r="59" spans="3:7">
      <c r="C59" s="12"/>
      <c r="D59" s="12"/>
      <c r="E59" s="12"/>
      <c r="F59" s="12"/>
      <c r="G59" s="12"/>
    </row>
    <row r="60" spans="3:7">
      <c r="C60" s="12"/>
      <c r="D60" s="12"/>
      <c r="E60" s="12"/>
      <c r="F60" s="12"/>
      <c r="G60" s="12"/>
    </row>
    <row r="61" spans="3:7">
      <c r="C61" s="12"/>
      <c r="D61" s="12"/>
      <c r="E61" s="12"/>
      <c r="F61" s="12"/>
      <c r="G61" s="12"/>
    </row>
    <row r="62" spans="3:7">
      <c r="C62" s="12"/>
      <c r="D62" s="12"/>
      <c r="E62" s="12"/>
      <c r="F62" s="12"/>
      <c r="G62" s="12"/>
    </row>
    <row r="63" spans="3:7">
      <c r="C63" s="12"/>
      <c r="D63" s="12"/>
      <c r="E63" s="12"/>
      <c r="F63" s="12"/>
      <c r="G63" s="12"/>
    </row>
    <row r="64" spans="3:7">
      <c r="C64" s="12"/>
      <c r="D64" s="12"/>
      <c r="E64" s="12"/>
      <c r="F64" s="12"/>
      <c r="G64" s="12"/>
    </row>
    <row r="65" spans="3:7">
      <c r="C65" s="12"/>
      <c r="D65" s="12"/>
      <c r="E65" s="12"/>
      <c r="F65" s="12"/>
      <c r="G65" s="12"/>
    </row>
    <row r="66" spans="3:7">
      <c r="C66" s="12"/>
      <c r="D66" s="12"/>
      <c r="E66" s="12"/>
      <c r="F66" s="12"/>
      <c r="G66" s="12"/>
    </row>
    <row r="67" spans="3:7">
      <c r="C67" s="12"/>
      <c r="D67" s="12"/>
      <c r="E67" s="12"/>
      <c r="F67" s="12"/>
      <c r="G67" s="12"/>
    </row>
    <row r="68" spans="3:7">
      <c r="C68" s="12"/>
      <c r="D68" s="12"/>
      <c r="E68" s="12"/>
      <c r="F68" s="12"/>
      <c r="G68" s="12"/>
    </row>
    <row r="69" spans="3:7">
      <c r="C69" s="12"/>
      <c r="D69" s="12"/>
      <c r="E69" s="12"/>
      <c r="F69" s="12"/>
      <c r="G69" s="12"/>
    </row>
    <row r="70" spans="3:7">
      <c r="C70" s="12"/>
      <c r="D70" s="12"/>
      <c r="E70" s="12"/>
      <c r="F70" s="12"/>
      <c r="G70" s="12"/>
    </row>
    <row r="71" spans="3:7">
      <c r="C71" s="12"/>
      <c r="D71" s="12"/>
      <c r="E71" s="12"/>
      <c r="F71" s="12"/>
      <c r="G71" s="12"/>
    </row>
    <row r="72" spans="3:7">
      <c r="C72" s="12"/>
      <c r="D72" s="12"/>
      <c r="E72" s="12"/>
      <c r="F72" s="12"/>
      <c r="G72" s="12"/>
    </row>
    <row r="73" spans="3:7">
      <c r="C73" s="12"/>
      <c r="D73" s="12"/>
      <c r="E73" s="12"/>
      <c r="F73" s="12"/>
      <c r="G73" s="12"/>
    </row>
    <row r="74" spans="3:7">
      <c r="C74" s="12"/>
      <c r="D74" s="12"/>
      <c r="E74" s="12"/>
      <c r="F74" s="12"/>
      <c r="G74" s="12"/>
    </row>
    <row r="75" spans="3:7">
      <c r="C75" s="12"/>
      <c r="D75" s="12"/>
      <c r="E75" s="12"/>
      <c r="F75" s="12"/>
      <c r="G75" s="12"/>
    </row>
    <row r="76" spans="3:7">
      <c r="C76" s="12"/>
      <c r="D76" s="12"/>
      <c r="E76" s="12"/>
      <c r="F76" s="12"/>
      <c r="G76" s="12"/>
    </row>
    <row r="77" spans="3:7">
      <c r="C77" s="12"/>
      <c r="D77" s="12"/>
      <c r="E77" s="12"/>
      <c r="F77" s="12"/>
      <c r="G77" s="12"/>
    </row>
    <row r="78" spans="3:7">
      <c r="C78" s="12"/>
      <c r="D78" s="12"/>
      <c r="E78" s="12"/>
      <c r="F78" s="12"/>
      <c r="G78" s="12"/>
    </row>
    <row r="79" spans="3:7">
      <c r="C79" s="12"/>
      <c r="D79" s="12"/>
      <c r="E79" s="12"/>
      <c r="F79" s="12"/>
      <c r="G79" s="12"/>
    </row>
    <row r="80" spans="3:7">
      <c r="C80" s="12"/>
      <c r="D80" s="12"/>
      <c r="E80" s="12"/>
      <c r="F80" s="12"/>
      <c r="G80" s="12"/>
    </row>
    <row r="81" spans="3:7">
      <c r="C81" s="12"/>
      <c r="D81" s="12"/>
      <c r="E81" s="12"/>
      <c r="F81" s="12"/>
      <c r="G81" s="12"/>
    </row>
    <row r="82" spans="3:7">
      <c r="C82" s="12"/>
      <c r="D82" s="12"/>
      <c r="E82" s="12"/>
      <c r="F82" s="12"/>
      <c r="G82" s="12"/>
    </row>
    <row r="83" spans="3:7">
      <c r="C83" s="12"/>
      <c r="D83" s="12"/>
      <c r="E83" s="12"/>
      <c r="F83" s="12"/>
      <c r="G83" s="12"/>
    </row>
    <row r="84" spans="3:7">
      <c r="C84" s="12"/>
      <c r="D84" s="12"/>
      <c r="E84" s="12"/>
      <c r="F84" s="12"/>
      <c r="G84" s="12"/>
    </row>
    <row r="85" spans="3:7">
      <c r="C85" s="12"/>
      <c r="D85" s="12"/>
      <c r="E85" s="12"/>
      <c r="F85" s="12"/>
      <c r="G85" s="12"/>
    </row>
    <row r="86" spans="3:7">
      <c r="C86" s="12"/>
      <c r="D86" s="12"/>
      <c r="E86" s="12"/>
      <c r="F86" s="12"/>
      <c r="G86" s="12"/>
    </row>
    <row r="87" spans="3:7">
      <c r="C87" s="12"/>
      <c r="D87" s="12"/>
      <c r="E87" s="12"/>
      <c r="F87" s="12"/>
      <c r="G87" s="12"/>
    </row>
    <row r="88" spans="3:7">
      <c r="C88" s="12"/>
      <c r="D88" s="12"/>
      <c r="E88" s="12"/>
      <c r="F88" s="12"/>
      <c r="G88" s="12"/>
    </row>
    <row r="89" spans="3:7">
      <c r="C89" s="12"/>
      <c r="D89" s="12"/>
      <c r="E89" s="12"/>
      <c r="F89" s="12"/>
      <c r="G89" s="12"/>
    </row>
    <row r="90" spans="3:7">
      <c r="C90" s="12"/>
      <c r="D90" s="12"/>
      <c r="E90" s="12"/>
      <c r="F90" s="12"/>
      <c r="G90" s="12"/>
    </row>
    <row r="91" spans="3:7">
      <c r="C91" s="12"/>
      <c r="D91" s="12"/>
      <c r="E91" s="12"/>
      <c r="F91" s="12"/>
      <c r="G91" s="12"/>
    </row>
  </sheetData>
  <sheetProtection selectLockedCells="1" selectUnlockedCells="1"/>
  <mergeCells count="12">
    <mergeCell ref="B36:B37"/>
    <mergeCell ref="C36:C37"/>
    <mergeCell ref="D36:E36"/>
    <mergeCell ref="F36:I36"/>
    <mergeCell ref="B1:M1"/>
    <mergeCell ref="B2:M2"/>
    <mergeCell ref="B4:M4"/>
    <mergeCell ref="B5:M5"/>
    <mergeCell ref="B7:B8"/>
    <mergeCell ref="C7:C8"/>
    <mergeCell ref="D7:G7"/>
    <mergeCell ref="H7:L7"/>
  </mergeCells>
  <printOptions horizontalCentered="1"/>
  <pageMargins left="0.7" right="0.7" top="0.75" bottom="0.75" header="0.3" footer="0.3"/>
  <pageSetup paperSize="9" scale="71" firstPageNumber="8" orientation="landscape" useFirstPageNumber="1" r:id="rId1"/>
  <headerFooter>
    <oddFooter>&amp;R&amp;P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B2:M16"/>
  <sheetViews>
    <sheetView view="pageBreakPreview" zoomScale="69" zoomScaleSheetLayoutView="69" workbookViewId="0">
      <selection activeCell="L51" sqref="L51"/>
    </sheetView>
  </sheetViews>
  <sheetFormatPr defaultRowHeight="15.75"/>
  <cols>
    <col min="1" max="1" width="2" style="1" customWidth="1"/>
    <col min="2" max="2" width="6.42578125" style="3" customWidth="1"/>
    <col min="3" max="3" width="57.28515625" style="32" customWidth="1"/>
    <col min="4" max="4" width="13.85546875" style="32" hidden="1" customWidth="1"/>
    <col min="5" max="5" width="10" style="32" hidden="1" customWidth="1"/>
    <col min="6" max="6" width="16" style="32" hidden="1" customWidth="1"/>
    <col min="7" max="7" width="11.140625" style="32" hidden="1" customWidth="1"/>
    <col min="8" max="8" width="15.85546875" style="1" customWidth="1"/>
    <col min="9" max="9" width="11.42578125" style="1" customWidth="1"/>
    <col min="10" max="10" width="19" style="1" customWidth="1"/>
    <col min="11" max="11" width="20" style="1" customWidth="1"/>
    <col min="12" max="12" width="18.140625" style="1" customWidth="1"/>
    <col min="13" max="13" width="33.140625" style="1" customWidth="1"/>
    <col min="14" max="16384" width="9.140625" style="1"/>
  </cols>
  <sheetData>
    <row r="2" spans="2:13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</row>
    <row r="3" spans="2:13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</row>
    <row r="4" spans="2:13">
      <c r="B4" s="1843"/>
      <c r="C4" s="1843"/>
      <c r="D4" s="1843"/>
      <c r="E4" s="1843"/>
      <c r="F4" s="1843"/>
      <c r="G4" s="1843"/>
      <c r="H4" s="1843"/>
    </row>
    <row r="5" spans="2:13">
      <c r="B5" s="2435" t="s">
        <v>2581</v>
      </c>
      <c r="C5" s="2435"/>
      <c r="D5" s="2435"/>
      <c r="E5" s="2435"/>
      <c r="F5" s="2435"/>
      <c r="G5" s="2435"/>
      <c r="H5" s="2435"/>
      <c r="I5" s="2435"/>
      <c r="J5" s="2435"/>
      <c r="K5" s="2435"/>
      <c r="L5" s="2435"/>
      <c r="M5" s="2435"/>
    </row>
    <row r="6" spans="2:13">
      <c r="B6" s="2483" t="s">
        <v>355</v>
      </c>
      <c r="C6" s="2483"/>
      <c r="D6" s="2483"/>
      <c r="E6" s="2483"/>
      <c r="F6" s="2483"/>
      <c r="G6" s="2483"/>
      <c r="H6" s="2483"/>
      <c r="I6" s="2483"/>
      <c r="J6" s="2483"/>
      <c r="K6" s="2483"/>
      <c r="L6" s="2483"/>
      <c r="M6" s="2483"/>
    </row>
    <row r="7" spans="2:13" ht="16.5" thickBot="1">
      <c r="F7" s="2534" t="s">
        <v>344</v>
      </c>
      <c r="G7" s="2534"/>
      <c r="M7" s="1467" t="s">
        <v>96</v>
      </c>
    </row>
    <row r="8" spans="2:13" ht="31.5" customHeight="1">
      <c r="B8" s="2448" t="s">
        <v>349</v>
      </c>
      <c r="C8" s="2450" t="s">
        <v>331</v>
      </c>
      <c r="D8" s="2450" t="s">
        <v>1034</v>
      </c>
      <c r="E8" s="2450"/>
      <c r="F8" s="2450"/>
      <c r="G8" s="2450"/>
      <c r="H8" s="2450" t="s">
        <v>2591</v>
      </c>
      <c r="I8" s="2450"/>
      <c r="J8" s="2450"/>
      <c r="K8" s="2450"/>
      <c r="L8" s="2450"/>
      <c r="M8" s="2142" t="s">
        <v>2592</v>
      </c>
    </row>
    <row r="9" spans="2:13" ht="48.75" customHeight="1">
      <c r="B9" s="2449"/>
      <c r="C9" s="2451"/>
      <c r="D9" s="2140" t="s">
        <v>1228</v>
      </c>
      <c r="E9" s="2144" t="s">
        <v>1036</v>
      </c>
      <c r="F9" s="2140" t="s">
        <v>1038</v>
      </c>
      <c r="G9" s="2144" t="s">
        <v>1037</v>
      </c>
      <c r="H9" s="2140" t="s">
        <v>1035</v>
      </c>
      <c r="I9" s="2144" t="s">
        <v>1036</v>
      </c>
      <c r="J9" s="2144" t="s">
        <v>1229</v>
      </c>
      <c r="K9" s="2144" t="s">
        <v>2568</v>
      </c>
      <c r="L9" s="2144" t="s">
        <v>1231</v>
      </c>
      <c r="M9" s="2141" t="s">
        <v>1040</v>
      </c>
    </row>
    <row r="10" spans="2:13">
      <c r="B10" s="2145"/>
      <c r="C10" s="2144" t="s">
        <v>2553</v>
      </c>
      <c r="D10" s="2140">
        <v>1</v>
      </c>
      <c r="E10" s="2140">
        <v>2</v>
      </c>
      <c r="F10" s="2140">
        <v>3</v>
      </c>
      <c r="G10" s="2140">
        <v>4</v>
      </c>
      <c r="H10" s="2140">
        <v>1</v>
      </c>
      <c r="I10" s="2140">
        <v>2</v>
      </c>
      <c r="J10" s="2140">
        <v>3</v>
      </c>
      <c r="K10" s="2140">
        <v>4</v>
      </c>
      <c r="L10" s="2140" t="s">
        <v>2578</v>
      </c>
      <c r="M10" s="2141">
        <v>6</v>
      </c>
    </row>
    <row r="11" spans="2:13" hidden="1">
      <c r="B11" s="1844"/>
      <c r="C11" s="1191"/>
      <c r="D11" s="1191"/>
      <c r="E11" s="1191"/>
      <c r="F11" s="1191"/>
      <c r="G11" s="1191"/>
      <c r="H11" s="1789"/>
      <c r="I11" s="1789"/>
      <c r="J11" s="1789"/>
      <c r="K11" s="1789"/>
      <c r="L11" s="1789"/>
      <c r="M11" s="1790"/>
    </row>
    <row r="12" spans="2:13" ht="42" customHeight="1">
      <c r="B12" s="1844">
        <v>1</v>
      </c>
      <c r="C12" s="1191" t="s">
        <v>361</v>
      </c>
      <c r="D12" s="92">
        <v>1.45</v>
      </c>
      <c r="E12" s="92">
        <f>D12</f>
        <v>1.45</v>
      </c>
      <c r="F12" s="92">
        <f>'Schedules of Accounts'!F178/10^7</f>
        <v>0.36</v>
      </c>
      <c r="G12" s="92"/>
      <c r="H12" s="1469">
        <v>0</v>
      </c>
      <c r="I12" s="1469">
        <f>H12</f>
        <v>0</v>
      </c>
      <c r="J12" s="1619">
        <v>0</v>
      </c>
      <c r="K12" s="1620">
        <v>9.56</v>
      </c>
      <c r="L12" s="2138">
        <f>J12+K12</f>
        <v>9.56</v>
      </c>
      <c r="M12" s="1791">
        <v>8.6</v>
      </c>
    </row>
    <row r="13" spans="2:13" ht="39.75" customHeight="1">
      <c r="B13" s="1844">
        <v>2</v>
      </c>
      <c r="C13" s="1191" t="s">
        <v>356</v>
      </c>
      <c r="D13" s="92">
        <v>0</v>
      </c>
      <c r="E13" s="92">
        <f>D13</f>
        <v>0</v>
      </c>
      <c r="F13" s="92">
        <f>'Schedules of Accounts'!F176</f>
        <v>0</v>
      </c>
      <c r="G13" s="92"/>
      <c r="H13" s="1469">
        <v>0</v>
      </c>
      <c r="I13" s="1469">
        <f>H13</f>
        <v>0</v>
      </c>
      <c r="J13" s="1469">
        <v>0</v>
      </c>
      <c r="K13" s="599">
        <v>0</v>
      </c>
      <c r="L13" s="599">
        <f>J13+K13</f>
        <v>0</v>
      </c>
      <c r="M13" s="1410">
        <v>0</v>
      </c>
    </row>
    <row r="14" spans="2:13" ht="39" customHeight="1">
      <c r="B14" s="1844">
        <v>3</v>
      </c>
      <c r="C14" s="1191" t="s">
        <v>357</v>
      </c>
      <c r="D14" s="92">
        <v>0</v>
      </c>
      <c r="E14" s="92">
        <f>D14</f>
        <v>0</v>
      </c>
      <c r="F14" s="92">
        <f>'Schedules of Accounts'!F177</f>
        <v>0</v>
      </c>
      <c r="G14" s="92"/>
      <c r="H14" s="1469">
        <v>0</v>
      </c>
      <c r="I14" s="1469">
        <f>H14</f>
        <v>0</v>
      </c>
      <c r="J14" s="1469">
        <v>0</v>
      </c>
      <c r="K14" s="599">
        <v>0</v>
      </c>
      <c r="L14" s="599">
        <f>J14+K14</f>
        <v>0</v>
      </c>
      <c r="M14" s="1410">
        <v>0</v>
      </c>
    </row>
    <row r="15" spans="2:13" ht="33.75" customHeight="1">
      <c r="B15" s="1844">
        <v>4</v>
      </c>
      <c r="C15" s="1191" t="s">
        <v>359</v>
      </c>
      <c r="D15" s="92">
        <v>0</v>
      </c>
      <c r="E15" s="92">
        <f>D15</f>
        <v>0</v>
      </c>
      <c r="F15" s="92">
        <f>'Schedules of Accounts'!E203</f>
        <v>0</v>
      </c>
      <c r="G15" s="92"/>
      <c r="H15" s="1469">
        <v>0</v>
      </c>
      <c r="I15" s="1469">
        <f>H15</f>
        <v>0</v>
      </c>
      <c r="J15" s="1469">
        <v>0</v>
      </c>
      <c r="K15" s="599">
        <v>0</v>
      </c>
      <c r="L15" s="599">
        <f>J15+K15</f>
        <v>0</v>
      </c>
      <c r="M15" s="1410">
        <v>0</v>
      </c>
    </row>
    <row r="16" spans="2:13" ht="27.75" customHeight="1" thickBot="1">
      <c r="B16" s="206"/>
      <c r="C16" s="1767" t="s">
        <v>358</v>
      </c>
      <c r="D16" s="207">
        <f t="shared" ref="D16:J16" si="0">SUM(D12:D15)</f>
        <v>1.45</v>
      </c>
      <c r="E16" s="207">
        <f t="shared" si="0"/>
        <v>1.45</v>
      </c>
      <c r="F16" s="207">
        <f t="shared" si="0"/>
        <v>0.36</v>
      </c>
      <c r="G16" s="207">
        <f>F16</f>
        <v>0.36</v>
      </c>
      <c r="H16" s="1470">
        <f t="shared" si="0"/>
        <v>0</v>
      </c>
      <c r="I16" s="1470">
        <f t="shared" si="0"/>
        <v>0</v>
      </c>
      <c r="J16" s="1470">
        <f t="shared" si="0"/>
        <v>0</v>
      </c>
      <c r="K16" s="1466">
        <f>SUM(K12:K15)</f>
        <v>9.56</v>
      </c>
      <c r="L16" s="1466">
        <f>SUM(L12:L15)</f>
        <v>9.56</v>
      </c>
      <c r="M16" s="1628">
        <f>SUM(M12:M15)</f>
        <v>8.6</v>
      </c>
    </row>
  </sheetData>
  <sheetProtection selectLockedCells="1" selectUnlockedCells="1"/>
  <mergeCells count="9">
    <mergeCell ref="H8:L8"/>
    <mergeCell ref="D8:G8"/>
    <mergeCell ref="B8:B9"/>
    <mergeCell ref="C8:C9"/>
    <mergeCell ref="B2:M2"/>
    <mergeCell ref="B3:M3"/>
    <mergeCell ref="B5:M5"/>
    <mergeCell ref="B6:M6"/>
    <mergeCell ref="F7:G7"/>
  </mergeCells>
  <phoneticPr fontId="14" type="noConversion"/>
  <printOptions horizontalCentered="1"/>
  <pageMargins left="0.7" right="0.7" top="0.75" bottom="0.75" header="0.3" footer="0.3"/>
  <pageSetup paperSize="9" scale="71" firstPageNumber="9" orientation="landscape" useFirstPageNumber="1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1:M29"/>
  <sheetViews>
    <sheetView view="pageBreakPreview" zoomScale="69" zoomScaleSheetLayoutView="69" workbookViewId="0">
      <selection activeCell="H11" sqref="H11"/>
    </sheetView>
  </sheetViews>
  <sheetFormatPr defaultRowHeight="15.75"/>
  <cols>
    <col min="1" max="1" width="3" style="2" customWidth="1"/>
    <col min="2" max="2" width="9.140625" style="2" customWidth="1"/>
    <col min="3" max="3" width="37.140625" style="2" customWidth="1"/>
    <col min="4" max="4" width="13.140625" style="2" hidden="1" customWidth="1"/>
    <col min="5" max="5" width="13.5703125" style="2" hidden="1" customWidth="1"/>
    <col min="6" max="6" width="14.5703125" style="2" hidden="1" customWidth="1"/>
    <col min="7" max="7" width="13.7109375" style="2" hidden="1" customWidth="1"/>
    <col min="8" max="8" width="16.28515625" style="2" customWidth="1"/>
    <col min="9" max="9" width="13.85546875" style="2" customWidth="1"/>
    <col min="10" max="10" width="16.7109375" style="2" customWidth="1"/>
    <col min="11" max="11" width="19" style="2" customWidth="1"/>
    <col min="12" max="12" width="18.42578125" style="2" customWidth="1"/>
    <col min="13" max="13" width="36.5703125" style="2" customWidth="1"/>
    <col min="14" max="14" width="18.85546875" style="2" customWidth="1"/>
    <col min="15" max="16384" width="9.140625" style="2"/>
  </cols>
  <sheetData>
    <row r="1" spans="2:13">
      <c r="E1" s="2487" t="s">
        <v>404</v>
      </c>
      <c r="F1" s="2487"/>
    </row>
    <row r="2" spans="2:13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</row>
    <row r="3" spans="2:13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</row>
    <row r="4" spans="2:13" ht="15.75" customHeight="1">
      <c r="B4" s="1843"/>
      <c r="C4" s="1843"/>
      <c r="D4" s="1843"/>
      <c r="E4" s="1843"/>
      <c r="F4" s="1843"/>
      <c r="G4" s="1843"/>
      <c r="H4" s="1843"/>
      <c r="I4" s="1843"/>
      <c r="J4" s="1843"/>
      <c r="K4" s="1843"/>
      <c r="L4" s="1843"/>
      <c r="M4" s="1843"/>
    </row>
    <row r="5" spans="2:13" ht="15.75" customHeight="1">
      <c r="B5" s="2419" t="s">
        <v>2582</v>
      </c>
      <c r="C5" s="2419"/>
      <c r="D5" s="2419"/>
      <c r="E5" s="2419"/>
      <c r="F5" s="2419"/>
      <c r="G5" s="2419"/>
      <c r="H5" s="2419"/>
      <c r="I5" s="2419"/>
      <c r="J5" s="2419"/>
      <c r="K5" s="2419"/>
      <c r="L5" s="2419"/>
      <c r="M5" s="2419"/>
    </row>
    <row r="6" spans="2:13">
      <c r="B6" s="2447" t="s">
        <v>1394</v>
      </c>
      <c r="C6" s="2447"/>
      <c r="D6" s="2447"/>
      <c r="E6" s="2447"/>
      <c r="F6" s="2447"/>
      <c r="G6" s="2447"/>
      <c r="H6" s="2447"/>
      <c r="I6" s="2447"/>
      <c r="J6" s="2447"/>
      <c r="K6" s="2447"/>
      <c r="L6" s="2447"/>
      <c r="M6" s="2447"/>
    </row>
    <row r="7" spans="2:13" ht="16.5" thickBot="1">
      <c r="E7" s="2534" t="s">
        <v>344</v>
      </c>
      <c r="F7" s="2534"/>
      <c r="M7" s="1467" t="s">
        <v>96</v>
      </c>
    </row>
    <row r="8" spans="2:13">
      <c r="B8" s="2448" t="s">
        <v>349</v>
      </c>
      <c r="C8" s="2450" t="s">
        <v>331</v>
      </c>
      <c r="D8" s="2450" t="s">
        <v>1034</v>
      </c>
      <c r="E8" s="2450"/>
      <c r="F8" s="2450"/>
      <c r="G8" s="2450"/>
      <c r="H8" s="2450" t="s">
        <v>2591</v>
      </c>
      <c r="I8" s="2450"/>
      <c r="J8" s="2450"/>
      <c r="K8" s="2450"/>
      <c r="L8" s="2450"/>
      <c r="M8" s="2142" t="s">
        <v>2592</v>
      </c>
    </row>
    <row r="9" spans="2:13" ht="31.5">
      <c r="B9" s="2449"/>
      <c r="C9" s="2451"/>
      <c r="D9" s="2140" t="s">
        <v>1228</v>
      </c>
      <c r="E9" s="2144" t="s">
        <v>1036</v>
      </c>
      <c r="F9" s="2140" t="s">
        <v>1038</v>
      </c>
      <c r="G9" s="2144" t="s">
        <v>1037</v>
      </c>
      <c r="H9" s="2140" t="s">
        <v>1035</v>
      </c>
      <c r="I9" s="2144" t="s">
        <v>1036</v>
      </c>
      <c r="J9" s="2144" t="s">
        <v>1229</v>
      </c>
      <c r="K9" s="2144" t="s">
        <v>2568</v>
      </c>
      <c r="L9" s="2144" t="s">
        <v>1231</v>
      </c>
      <c r="M9" s="2141" t="s">
        <v>1040</v>
      </c>
    </row>
    <row r="10" spans="2:13">
      <c r="B10" s="2145"/>
      <c r="C10" s="2144" t="s">
        <v>2553</v>
      </c>
      <c r="D10" s="2140">
        <v>1</v>
      </c>
      <c r="E10" s="2140">
        <v>2</v>
      </c>
      <c r="F10" s="2140">
        <v>3</v>
      </c>
      <c r="G10" s="2140">
        <v>4</v>
      </c>
      <c r="H10" s="2140">
        <v>1</v>
      </c>
      <c r="I10" s="2140">
        <v>2</v>
      </c>
      <c r="J10" s="2140">
        <v>3</v>
      </c>
      <c r="K10" s="2140">
        <v>4</v>
      </c>
      <c r="L10" s="2140" t="s">
        <v>2578</v>
      </c>
      <c r="M10" s="2141">
        <v>6</v>
      </c>
    </row>
    <row r="11" spans="2:13" ht="38.25" customHeight="1">
      <c r="B11" s="1844">
        <v>1</v>
      </c>
      <c r="C11" s="1191" t="s">
        <v>1316</v>
      </c>
      <c r="D11" s="503">
        <f>D20</f>
        <v>328.5</v>
      </c>
      <c r="E11" s="503">
        <f>D11</f>
        <v>328.5</v>
      </c>
      <c r="F11" s="503">
        <f>'Schedules of Accounts'!E168/10^7</f>
        <v>1650.62</v>
      </c>
      <c r="G11" s="344">
        <f>D11</f>
        <v>328.5</v>
      </c>
      <c r="H11" s="333">
        <f>D14</f>
        <v>328.5</v>
      </c>
      <c r="I11" s="333">
        <f>E14</f>
        <v>328.5</v>
      </c>
      <c r="J11" s="333">
        <f>I11</f>
        <v>328.5</v>
      </c>
      <c r="K11" s="1475"/>
      <c r="L11" s="1463">
        <f>J11+K11</f>
        <v>328.5</v>
      </c>
      <c r="M11" s="1567">
        <f>L14</f>
        <v>328.5</v>
      </c>
    </row>
    <row r="12" spans="2:13" ht="32.25" customHeight="1">
      <c r="B12" s="1844">
        <v>2</v>
      </c>
      <c r="C12" s="1191" t="s">
        <v>1317</v>
      </c>
      <c r="D12" s="503">
        <v>0</v>
      </c>
      <c r="E12" s="503">
        <f>D12</f>
        <v>0</v>
      </c>
      <c r="F12" s="503">
        <f>'Schedules of Accounts'!F168/10^7</f>
        <v>0.05</v>
      </c>
      <c r="G12" s="1781">
        <v>0</v>
      </c>
      <c r="H12" s="333">
        <v>0</v>
      </c>
      <c r="I12" s="333">
        <v>0</v>
      </c>
      <c r="J12" s="333"/>
      <c r="K12" s="333"/>
      <c r="L12" s="1463">
        <f t="shared" ref="L12:L14" si="0">J12+K12</f>
        <v>0</v>
      </c>
      <c r="M12" s="1792">
        <v>0</v>
      </c>
    </row>
    <row r="13" spans="2:13" ht="45" customHeight="1">
      <c r="B13" s="1844">
        <v>3</v>
      </c>
      <c r="C13" s="1191" t="s">
        <v>1318</v>
      </c>
      <c r="D13" s="503">
        <v>0</v>
      </c>
      <c r="E13" s="503">
        <f>D13</f>
        <v>0</v>
      </c>
      <c r="F13" s="503">
        <f>'Schedules of Accounts'!G168/10^7</f>
        <v>0</v>
      </c>
      <c r="G13" s="1781">
        <v>0</v>
      </c>
      <c r="H13" s="333">
        <v>0</v>
      </c>
      <c r="I13" s="333">
        <v>0</v>
      </c>
      <c r="J13" s="333">
        <v>0</v>
      </c>
      <c r="K13" s="333"/>
      <c r="L13" s="1463">
        <f t="shared" si="0"/>
        <v>0</v>
      </c>
      <c r="M13" s="1792">
        <v>0</v>
      </c>
    </row>
    <row r="14" spans="2:13" s="8" customFormat="1" ht="31.5" customHeight="1" thickBot="1">
      <c r="B14" s="1629">
        <v>4</v>
      </c>
      <c r="C14" s="1783" t="s">
        <v>1319</v>
      </c>
      <c r="D14" s="1630">
        <f t="shared" ref="D14:I14" si="1">D11+D12-D13</f>
        <v>328.5</v>
      </c>
      <c r="E14" s="1630">
        <f t="shared" si="1"/>
        <v>328.5</v>
      </c>
      <c r="F14" s="1630">
        <f t="shared" si="1"/>
        <v>1650.6699999999998</v>
      </c>
      <c r="G14" s="1793">
        <f t="shared" si="1"/>
        <v>328.5</v>
      </c>
      <c r="H14" s="1460">
        <f t="shared" si="1"/>
        <v>328.5</v>
      </c>
      <c r="I14" s="1460">
        <f t="shared" si="1"/>
        <v>328.5</v>
      </c>
      <c r="J14" s="1460">
        <f>SUM(J11:J13)</f>
        <v>328.5</v>
      </c>
      <c r="K14" s="1460"/>
      <c r="L14" s="179">
        <f t="shared" si="0"/>
        <v>328.5</v>
      </c>
      <c r="M14" s="1462">
        <f>M11+M12-M13</f>
        <v>328.5</v>
      </c>
    </row>
    <row r="15" spans="2:13" hidden="1">
      <c r="B15" s="8"/>
      <c r="H15" s="6"/>
      <c r="I15" s="6"/>
      <c r="J15" s="6"/>
      <c r="K15" s="6"/>
      <c r="L15" s="6"/>
      <c r="M15" s="6"/>
    </row>
    <row r="16" spans="2:13" hidden="1">
      <c r="H16" s="6"/>
      <c r="I16" s="6"/>
      <c r="J16" s="6"/>
      <c r="K16" s="6"/>
      <c r="L16" s="6"/>
      <c r="M16" s="6"/>
    </row>
    <row r="17" spans="3:13" ht="15" hidden="1" customHeight="1">
      <c r="C17" s="65"/>
      <c r="D17" s="1861" t="s">
        <v>420</v>
      </c>
      <c r="E17" s="2537" t="s">
        <v>334</v>
      </c>
      <c r="F17" s="2538"/>
      <c r="H17" s="6"/>
      <c r="I17" s="6"/>
      <c r="J17" s="6"/>
      <c r="K17" s="6"/>
      <c r="L17" s="6"/>
      <c r="M17" s="6"/>
    </row>
    <row r="18" spans="3:13" hidden="1">
      <c r="C18" s="1999" t="s">
        <v>419</v>
      </c>
      <c r="D18" s="1861">
        <v>2010</v>
      </c>
      <c r="E18" s="1861">
        <v>2011</v>
      </c>
      <c r="F18" s="1861">
        <v>2012</v>
      </c>
      <c r="H18" s="6"/>
      <c r="I18" s="6"/>
      <c r="J18" s="6"/>
      <c r="K18" s="6"/>
      <c r="L18" s="6"/>
      <c r="M18" s="6"/>
    </row>
    <row r="19" spans="3:13" hidden="1">
      <c r="C19" s="293" t="s">
        <v>417</v>
      </c>
      <c r="D19" s="293">
        <v>2946.11</v>
      </c>
      <c r="E19" s="293">
        <v>2946.11</v>
      </c>
      <c r="F19" s="293">
        <v>2946.11</v>
      </c>
      <c r="H19" s="6"/>
      <c r="I19" s="6"/>
      <c r="J19" s="6"/>
      <c r="K19" s="6"/>
      <c r="L19" s="6"/>
      <c r="M19" s="6"/>
    </row>
    <row r="20" spans="3:13" hidden="1">
      <c r="C20" s="293" t="s">
        <v>418</v>
      </c>
      <c r="D20" s="293">
        <f>D26/14*100</f>
        <v>328.5</v>
      </c>
      <c r="E20" s="293">
        <f>D20</f>
        <v>328.5</v>
      </c>
      <c r="F20" s="293">
        <f>E20</f>
        <v>328.5</v>
      </c>
      <c r="H20" s="6"/>
      <c r="I20" s="6"/>
      <c r="J20" s="6"/>
      <c r="K20" s="6"/>
      <c r="L20" s="6"/>
      <c r="M20" s="6"/>
    </row>
    <row r="21" spans="3:13" hidden="1">
      <c r="H21" s="6"/>
      <c r="I21" s="6"/>
      <c r="J21" s="6"/>
      <c r="K21" s="6"/>
      <c r="L21" s="6"/>
      <c r="M21" s="6"/>
    </row>
    <row r="22" spans="3:13" ht="15" hidden="1" customHeight="1">
      <c r="C22" s="2000"/>
      <c r="D22" s="2001" t="s">
        <v>420</v>
      </c>
      <c r="E22" s="2535" t="s">
        <v>334</v>
      </c>
      <c r="F22" s="2536"/>
      <c r="H22" s="6"/>
      <c r="I22" s="6"/>
      <c r="J22" s="6"/>
      <c r="K22" s="6"/>
      <c r="L22" s="6"/>
      <c r="M22" s="6"/>
    </row>
    <row r="23" spans="3:13" hidden="1">
      <c r="C23" s="2002" t="s">
        <v>421</v>
      </c>
      <c r="D23" s="2001">
        <v>2010</v>
      </c>
      <c r="E23" s="2001">
        <v>2011</v>
      </c>
      <c r="F23" s="2001">
        <v>2012</v>
      </c>
      <c r="H23" s="6"/>
      <c r="I23" s="6"/>
      <c r="J23" s="6"/>
      <c r="K23" s="6"/>
      <c r="L23" s="6"/>
      <c r="M23" s="6"/>
    </row>
    <row r="24" spans="3:13" hidden="1">
      <c r="C24" s="293" t="s">
        <v>417</v>
      </c>
      <c r="D24" s="2003">
        <f>D19*14%</f>
        <v>412.45540000000005</v>
      </c>
      <c r="E24" s="2003">
        <f>E19*14%</f>
        <v>412.45540000000005</v>
      </c>
      <c r="F24" s="2003">
        <f>F19*14%</f>
        <v>412.45540000000005</v>
      </c>
      <c r="H24" s="6"/>
      <c r="I24" s="6"/>
      <c r="J24" s="6"/>
      <c r="K24" s="6"/>
      <c r="L24" s="6"/>
      <c r="M24" s="6"/>
    </row>
    <row r="25" spans="3:13" hidden="1">
      <c r="C25" s="293" t="s">
        <v>422</v>
      </c>
      <c r="D25" s="2004">
        <v>0.14000000000000001</v>
      </c>
      <c r="E25" s="2004">
        <v>0.14000000000000001</v>
      </c>
      <c r="F25" s="2004">
        <v>0.14000000000000001</v>
      </c>
      <c r="H25" s="6"/>
      <c r="I25" s="6"/>
      <c r="J25" s="6"/>
      <c r="K25" s="6"/>
      <c r="L25" s="6"/>
      <c r="M25" s="6"/>
    </row>
    <row r="26" spans="3:13" hidden="1">
      <c r="C26" s="967" t="s">
        <v>418</v>
      </c>
      <c r="D26" s="967">
        <v>45.99</v>
      </c>
      <c r="E26" s="2005">
        <f>E20*15.5%/(1-0.3399)</f>
        <v>77.136039993940301</v>
      </c>
      <c r="F26" s="2005">
        <f>F20*15.5%/(1-0.3399)</f>
        <v>77.136039993940301</v>
      </c>
      <c r="H26" s="6"/>
      <c r="I26" s="6"/>
      <c r="J26" s="6"/>
      <c r="K26" s="6"/>
      <c r="L26" s="6"/>
      <c r="M26" s="6"/>
    </row>
    <row r="27" spans="3:13" hidden="1">
      <c r="C27" s="293" t="s">
        <v>422</v>
      </c>
      <c r="D27" s="2004">
        <v>0.14000000000000001</v>
      </c>
      <c r="E27" s="2006">
        <f>E26/E20</f>
        <v>0.23481290713528249</v>
      </c>
      <c r="F27" s="2006">
        <f>F26/F20</f>
        <v>0.23481290713528249</v>
      </c>
      <c r="H27" s="6"/>
      <c r="I27" s="6"/>
      <c r="J27" s="6"/>
      <c r="K27" s="6"/>
      <c r="L27" s="6"/>
      <c r="M27" s="6"/>
    </row>
    <row r="28" spans="3:13" hidden="1">
      <c r="H28" s="6"/>
      <c r="I28" s="6"/>
      <c r="J28" s="6"/>
      <c r="K28" s="6"/>
      <c r="L28" s="6"/>
      <c r="M28" s="6"/>
    </row>
    <row r="29" spans="3:13">
      <c r="H29" s="6"/>
      <c r="I29" s="6"/>
      <c r="J29" s="6"/>
      <c r="K29" s="6"/>
      <c r="L29" s="6"/>
      <c r="M29" s="6"/>
    </row>
  </sheetData>
  <sheetProtection selectLockedCells="1" selectUnlockedCells="1"/>
  <mergeCells count="12">
    <mergeCell ref="E1:F1"/>
    <mergeCell ref="E17:F17"/>
    <mergeCell ref="B8:B9"/>
    <mergeCell ref="C8:C9"/>
    <mergeCell ref="D8:G8"/>
    <mergeCell ref="E22:F22"/>
    <mergeCell ref="E7:F7"/>
    <mergeCell ref="B2:M2"/>
    <mergeCell ref="B3:M3"/>
    <mergeCell ref="B6:M6"/>
    <mergeCell ref="B5:M5"/>
    <mergeCell ref="H8:L8"/>
  </mergeCells>
  <phoneticPr fontId="14" type="noConversion"/>
  <printOptions horizontalCentered="1"/>
  <pageMargins left="0.7" right="0.7" top="0.75" bottom="0.75" header="0.3" footer="0.3"/>
  <pageSetup paperSize="9" scale="78" firstPageNumber="10" orientation="landscape" useFirstPageNumber="1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N29"/>
  <sheetViews>
    <sheetView view="pageBreakPreview" topLeftCell="A4" zoomScale="69" zoomScaleSheetLayoutView="69" workbookViewId="0">
      <selection activeCell="N41" sqref="N41"/>
    </sheetView>
  </sheetViews>
  <sheetFormatPr defaultRowHeight="15.75"/>
  <cols>
    <col min="1" max="1" width="3" style="2" customWidth="1"/>
    <col min="2" max="2" width="9.140625" style="2" customWidth="1"/>
    <col min="3" max="3" width="37" style="2" customWidth="1"/>
    <col min="4" max="4" width="13.140625" style="2" hidden="1" customWidth="1"/>
    <col min="5" max="5" width="13.5703125" style="2" hidden="1" customWidth="1"/>
    <col min="6" max="6" width="14.5703125" style="2" hidden="1" customWidth="1"/>
    <col min="7" max="7" width="13.7109375" style="2" hidden="1" customWidth="1"/>
    <col min="8" max="8" width="16.28515625" style="2" hidden="1" customWidth="1"/>
    <col min="9" max="9" width="13.85546875" style="2" hidden="1" customWidth="1"/>
    <col min="10" max="10" width="16.7109375" style="2" customWidth="1"/>
    <col min="11" max="11" width="19" style="2" customWidth="1"/>
    <col min="12" max="12" width="18.42578125" style="2" customWidth="1"/>
    <col min="13" max="13" width="27" style="2" customWidth="1"/>
    <col min="14" max="14" width="18.85546875" style="2" customWidth="1"/>
    <col min="15" max="16384" width="9.140625" style="2"/>
  </cols>
  <sheetData>
    <row r="1" spans="2:14">
      <c r="E1" s="2487" t="s">
        <v>404</v>
      </c>
      <c r="F1" s="2487"/>
    </row>
    <row r="2" spans="2:14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</row>
    <row r="3" spans="2:14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</row>
    <row r="4" spans="2:14" ht="15.75" customHeight="1">
      <c r="B4" s="2184"/>
      <c r="C4" s="2184"/>
      <c r="D4" s="2184"/>
      <c r="E4" s="2184"/>
      <c r="F4" s="2184"/>
      <c r="G4" s="2184"/>
      <c r="H4" s="2184"/>
      <c r="I4" s="2184"/>
      <c r="J4" s="2184"/>
      <c r="K4" s="2184"/>
      <c r="L4" s="2331"/>
      <c r="M4" s="150" t="s">
        <v>2798</v>
      </c>
      <c r="N4" s="150"/>
    </row>
    <row r="5" spans="2:14" ht="15.75" customHeight="1">
      <c r="B5" s="2419" t="s">
        <v>2582</v>
      </c>
      <c r="C5" s="2419"/>
      <c r="D5" s="2419"/>
      <c r="E5" s="2419"/>
      <c r="F5" s="2419"/>
      <c r="G5" s="2419"/>
      <c r="H5" s="2419"/>
      <c r="I5" s="2419"/>
      <c r="J5" s="2419"/>
      <c r="K5" s="2419"/>
      <c r="L5" s="2419"/>
      <c r="M5" s="2419"/>
    </row>
    <row r="6" spans="2:14">
      <c r="B6" s="2447" t="s">
        <v>1394</v>
      </c>
      <c r="C6" s="2447"/>
      <c r="D6" s="2447"/>
      <c r="E6" s="2447"/>
      <c r="F6" s="2447"/>
      <c r="G6" s="2447"/>
      <c r="H6" s="2447"/>
      <c r="I6" s="2447"/>
      <c r="J6" s="2447"/>
      <c r="K6" s="2447"/>
      <c r="L6" s="2447"/>
      <c r="M6" s="2447"/>
    </row>
    <row r="7" spans="2:14" ht="16.5" thickBot="1">
      <c r="E7" s="2534" t="s">
        <v>344</v>
      </c>
      <c r="F7" s="2534"/>
      <c r="M7" s="1467" t="s">
        <v>96</v>
      </c>
    </row>
    <row r="8" spans="2:14">
      <c r="B8" s="2448" t="s">
        <v>349</v>
      </c>
      <c r="C8" s="2450" t="s">
        <v>331</v>
      </c>
      <c r="D8" s="2450" t="s">
        <v>1034</v>
      </c>
      <c r="E8" s="2450"/>
      <c r="F8" s="2450"/>
      <c r="G8" s="2450"/>
      <c r="H8" s="2222" t="s">
        <v>2591</v>
      </c>
      <c r="I8" s="2221"/>
      <c r="J8" s="2525" t="s">
        <v>2767</v>
      </c>
      <c r="K8" s="2525"/>
      <c r="L8" s="2539" t="s">
        <v>2592</v>
      </c>
      <c r="M8" s="2540"/>
    </row>
    <row r="9" spans="2:14" ht="31.5">
      <c r="B9" s="2449"/>
      <c r="C9" s="2451"/>
      <c r="D9" s="2189" t="s">
        <v>1228</v>
      </c>
      <c r="E9" s="2192" t="s">
        <v>1036</v>
      </c>
      <c r="F9" s="2189" t="s">
        <v>1038</v>
      </c>
      <c r="G9" s="2192" t="s">
        <v>1037</v>
      </c>
      <c r="H9" s="2189" t="s">
        <v>1035</v>
      </c>
      <c r="I9" s="2192" t="s">
        <v>1036</v>
      </c>
      <c r="J9" s="2192" t="s">
        <v>2567</v>
      </c>
      <c r="K9" s="2192" t="s">
        <v>2766</v>
      </c>
      <c r="L9" s="2192" t="s">
        <v>1040</v>
      </c>
      <c r="M9" s="2141" t="s">
        <v>2764</v>
      </c>
    </row>
    <row r="10" spans="2:14">
      <c r="B10" s="2191"/>
      <c r="C10" s="2192" t="s">
        <v>2553</v>
      </c>
      <c r="D10" s="2189">
        <v>1</v>
      </c>
      <c r="E10" s="2189">
        <v>2</v>
      </c>
      <c r="F10" s="2189">
        <v>3</v>
      </c>
      <c r="G10" s="2189">
        <v>4</v>
      </c>
      <c r="H10" s="2189">
        <v>1</v>
      </c>
      <c r="I10" s="2189">
        <v>2</v>
      </c>
      <c r="J10" s="2189">
        <v>3</v>
      </c>
      <c r="K10" s="2189">
        <v>4</v>
      </c>
      <c r="L10" s="2189" t="s">
        <v>2578</v>
      </c>
      <c r="M10" s="2141">
        <v>6</v>
      </c>
    </row>
    <row r="11" spans="2:14" ht="38.25" customHeight="1">
      <c r="B11" s="2185">
        <v>1</v>
      </c>
      <c r="C11" s="1191" t="s">
        <v>1316</v>
      </c>
      <c r="D11" s="503">
        <f>D20</f>
        <v>328.5</v>
      </c>
      <c r="E11" s="503">
        <f>D11</f>
        <v>328.5</v>
      </c>
      <c r="F11" s="503">
        <f>'[2]Schedules of Accounts'!E168/10^7</f>
        <v>1650.62</v>
      </c>
      <c r="G11" s="344">
        <f>D11</f>
        <v>328.5</v>
      </c>
      <c r="H11" s="333">
        <v>605.83000000000004</v>
      </c>
      <c r="I11" s="333">
        <f>E14</f>
        <v>328.5</v>
      </c>
      <c r="J11" s="333">
        <f>I11</f>
        <v>328.5</v>
      </c>
      <c r="K11" s="1475">
        <v>605.83000000000004</v>
      </c>
      <c r="L11" s="2196">
        <v>328.5</v>
      </c>
      <c r="M11" s="1567">
        <v>605.83000000000004</v>
      </c>
    </row>
    <row r="12" spans="2:14" ht="32.25" customHeight="1">
      <c r="B12" s="2185">
        <v>2</v>
      </c>
      <c r="C12" s="1191" t="s">
        <v>1317</v>
      </c>
      <c r="D12" s="503">
        <v>0</v>
      </c>
      <c r="E12" s="503">
        <f>D12</f>
        <v>0</v>
      </c>
      <c r="F12" s="503">
        <f>'[2]Schedules of Accounts'!F168/10^7</f>
        <v>0.05</v>
      </c>
      <c r="G12" s="1781">
        <v>0</v>
      </c>
      <c r="H12" s="333">
        <v>0</v>
      </c>
      <c r="I12" s="333">
        <v>0</v>
      </c>
      <c r="J12" s="333"/>
      <c r="K12" s="333"/>
      <c r="L12" s="2196">
        <f>J12+K12</f>
        <v>0</v>
      </c>
      <c r="M12" s="1792">
        <v>0</v>
      </c>
    </row>
    <row r="13" spans="2:14" ht="45" customHeight="1">
      <c r="B13" s="2185">
        <v>3</v>
      </c>
      <c r="C13" s="1191" t="s">
        <v>1318</v>
      </c>
      <c r="D13" s="503">
        <v>0</v>
      </c>
      <c r="E13" s="503">
        <f>D13</f>
        <v>0</v>
      </c>
      <c r="F13" s="503">
        <f>'[2]Schedules of Accounts'!G168/10^7</f>
        <v>0</v>
      </c>
      <c r="G13" s="1781">
        <v>0</v>
      </c>
      <c r="H13" s="333">
        <v>0</v>
      </c>
      <c r="I13" s="333">
        <v>0</v>
      </c>
      <c r="J13" s="333">
        <v>0</v>
      </c>
      <c r="K13" s="333"/>
      <c r="L13" s="2196">
        <f>J13+K13</f>
        <v>0</v>
      </c>
      <c r="M13" s="1792">
        <v>0</v>
      </c>
    </row>
    <row r="14" spans="2:14" s="8" customFormat="1" ht="31.5" customHeight="1" thickBot="1">
      <c r="B14" s="1629">
        <v>4</v>
      </c>
      <c r="C14" s="1783" t="s">
        <v>1319</v>
      </c>
      <c r="D14" s="1630">
        <f t="shared" ref="D14:I14" si="0">D11+D12-D13</f>
        <v>328.5</v>
      </c>
      <c r="E14" s="1630">
        <f t="shared" si="0"/>
        <v>328.5</v>
      </c>
      <c r="F14" s="1630">
        <f t="shared" si="0"/>
        <v>1650.6699999999998</v>
      </c>
      <c r="G14" s="1793">
        <f t="shared" si="0"/>
        <v>328.5</v>
      </c>
      <c r="H14" s="1460">
        <f t="shared" si="0"/>
        <v>605.83000000000004</v>
      </c>
      <c r="I14" s="1460">
        <f t="shared" si="0"/>
        <v>328.5</v>
      </c>
      <c r="J14" s="1460">
        <f>SUM(J11:J13)</f>
        <v>328.5</v>
      </c>
      <c r="K14" s="179">
        <f>K11</f>
        <v>605.83000000000004</v>
      </c>
      <c r="L14" s="179">
        <f>L11</f>
        <v>328.5</v>
      </c>
      <c r="M14" s="1462">
        <f>M11+M12-M13</f>
        <v>605.83000000000004</v>
      </c>
    </row>
    <row r="15" spans="2:14" hidden="1">
      <c r="B15" s="8"/>
      <c r="H15" s="6"/>
      <c r="I15" s="6"/>
      <c r="J15" s="6"/>
      <c r="K15" s="6"/>
      <c r="L15" s="6"/>
      <c r="M15" s="6"/>
    </row>
    <row r="16" spans="2:14" hidden="1">
      <c r="H16" s="6"/>
      <c r="I16" s="6"/>
      <c r="J16" s="6"/>
      <c r="K16" s="6"/>
      <c r="L16" s="6"/>
      <c r="M16" s="6"/>
    </row>
    <row r="17" spans="3:13" ht="15" hidden="1" customHeight="1">
      <c r="C17" s="65"/>
      <c r="D17" s="2206" t="s">
        <v>420</v>
      </c>
      <c r="E17" s="2537" t="s">
        <v>334</v>
      </c>
      <c r="F17" s="2538"/>
      <c r="H17" s="6"/>
      <c r="I17" s="6"/>
      <c r="J17" s="6"/>
      <c r="K17" s="6"/>
      <c r="L17" s="6"/>
      <c r="M17" s="6"/>
    </row>
    <row r="18" spans="3:13" hidden="1">
      <c r="C18" s="1999" t="s">
        <v>419</v>
      </c>
      <c r="D18" s="2206">
        <v>2010</v>
      </c>
      <c r="E18" s="2206">
        <v>2011</v>
      </c>
      <c r="F18" s="2206">
        <v>2012</v>
      </c>
      <c r="H18" s="6"/>
      <c r="I18" s="6"/>
      <c r="J18" s="6"/>
      <c r="K18" s="6"/>
      <c r="L18" s="6"/>
      <c r="M18" s="6"/>
    </row>
    <row r="19" spans="3:13" hidden="1">
      <c r="C19" s="293" t="s">
        <v>417</v>
      </c>
      <c r="D19" s="293">
        <v>2946.11</v>
      </c>
      <c r="E19" s="293">
        <v>2946.11</v>
      </c>
      <c r="F19" s="293">
        <v>2946.11</v>
      </c>
      <c r="H19" s="6"/>
      <c r="I19" s="6"/>
      <c r="J19" s="6"/>
      <c r="K19" s="6"/>
      <c r="L19" s="6"/>
      <c r="M19" s="6"/>
    </row>
    <row r="20" spans="3:13" hidden="1">
      <c r="C20" s="293" t="s">
        <v>418</v>
      </c>
      <c r="D20" s="293">
        <f>D26/14*100</f>
        <v>328.5</v>
      </c>
      <c r="E20" s="293">
        <f>D20</f>
        <v>328.5</v>
      </c>
      <c r="F20" s="293">
        <f>E20</f>
        <v>328.5</v>
      </c>
      <c r="H20" s="6"/>
      <c r="I20" s="6"/>
      <c r="J20" s="6"/>
      <c r="K20" s="6"/>
      <c r="L20" s="6"/>
      <c r="M20" s="6"/>
    </row>
    <row r="21" spans="3:13" hidden="1">
      <c r="H21" s="6"/>
      <c r="I21" s="6"/>
      <c r="J21" s="6"/>
      <c r="K21" s="6"/>
      <c r="L21" s="6"/>
      <c r="M21" s="6"/>
    </row>
    <row r="22" spans="3:13" ht="15" hidden="1" customHeight="1">
      <c r="C22" s="2000"/>
      <c r="D22" s="2001" t="s">
        <v>420</v>
      </c>
      <c r="E22" s="2535" t="s">
        <v>334</v>
      </c>
      <c r="F22" s="2536"/>
      <c r="H22" s="6"/>
      <c r="I22" s="6"/>
      <c r="J22" s="6"/>
      <c r="K22" s="6"/>
      <c r="L22" s="6"/>
      <c r="M22" s="6"/>
    </row>
    <row r="23" spans="3:13" hidden="1">
      <c r="C23" s="2002" t="s">
        <v>421</v>
      </c>
      <c r="D23" s="2001">
        <v>2010</v>
      </c>
      <c r="E23" s="2001">
        <v>2011</v>
      </c>
      <c r="F23" s="2001">
        <v>2012</v>
      </c>
      <c r="H23" s="6"/>
      <c r="I23" s="6"/>
      <c r="J23" s="6"/>
      <c r="K23" s="6"/>
      <c r="L23" s="6"/>
      <c r="M23" s="6"/>
    </row>
    <row r="24" spans="3:13" hidden="1">
      <c r="C24" s="293" t="s">
        <v>417</v>
      </c>
      <c r="D24" s="2003">
        <f>D19*14%</f>
        <v>412.45540000000005</v>
      </c>
      <c r="E24" s="2003">
        <f>E19*14%</f>
        <v>412.45540000000005</v>
      </c>
      <c r="F24" s="2003">
        <f>F19*14%</f>
        <v>412.45540000000005</v>
      </c>
      <c r="H24" s="6"/>
      <c r="I24" s="6"/>
      <c r="J24" s="6"/>
      <c r="K24" s="6"/>
      <c r="L24" s="6"/>
      <c r="M24" s="6"/>
    </row>
    <row r="25" spans="3:13" hidden="1">
      <c r="C25" s="293" t="s">
        <v>422</v>
      </c>
      <c r="D25" s="2004">
        <v>0.14000000000000001</v>
      </c>
      <c r="E25" s="2004">
        <v>0.14000000000000001</v>
      </c>
      <c r="F25" s="2004">
        <v>0.14000000000000001</v>
      </c>
      <c r="H25" s="6"/>
      <c r="I25" s="6"/>
      <c r="J25" s="6"/>
      <c r="K25" s="6"/>
      <c r="L25" s="6"/>
      <c r="M25" s="6"/>
    </row>
    <row r="26" spans="3:13" hidden="1">
      <c r="C26" s="967" t="s">
        <v>418</v>
      </c>
      <c r="D26" s="967">
        <v>45.99</v>
      </c>
      <c r="E26" s="2005">
        <f>E20*15.5%/(1-0.3399)</f>
        <v>77.136039993940301</v>
      </c>
      <c r="F26" s="2005">
        <f>F20*15.5%/(1-0.3399)</f>
        <v>77.136039993940301</v>
      </c>
      <c r="H26" s="6"/>
      <c r="I26" s="6"/>
      <c r="J26" s="6"/>
      <c r="K26" s="6"/>
      <c r="L26" s="6"/>
      <c r="M26" s="6"/>
    </row>
    <row r="27" spans="3:13" hidden="1">
      <c r="C27" s="293" t="s">
        <v>422</v>
      </c>
      <c r="D27" s="2004">
        <v>0.14000000000000001</v>
      </c>
      <c r="E27" s="2006">
        <f>E26/E20</f>
        <v>0.23481290713528249</v>
      </c>
      <c r="F27" s="2006">
        <f>F26/F20</f>
        <v>0.23481290713528249</v>
      </c>
      <c r="H27" s="6"/>
      <c r="I27" s="6"/>
      <c r="J27" s="6"/>
      <c r="K27" s="6"/>
      <c r="L27" s="6"/>
      <c r="M27" s="6"/>
    </row>
    <row r="28" spans="3:13" hidden="1">
      <c r="H28" s="6"/>
      <c r="I28" s="6"/>
      <c r="J28" s="6"/>
      <c r="K28" s="6"/>
      <c r="L28" s="6"/>
      <c r="M28" s="6"/>
    </row>
    <row r="29" spans="3:13">
      <c r="H29" s="6"/>
      <c r="I29" s="6"/>
      <c r="J29" s="6"/>
      <c r="K29" s="6"/>
      <c r="L29" s="6"/>
      <c r="M29" s="6"/>
    </row>
  </sheetData>
  <sheetProtection selectLockedCells="1" selectUnlockedCells="1"/>
  <mergeCells count="13">
    <mergeCell ref="E1:F1"/>
    <mergeCell ref="E17:F17"/>
    <mergeCell ref="B8:B9"/>
    <mergeCell ref="C8:C9"/>
    <mergeCell ref="D8:G8"/>
    <mergeCell ref="E22:F22"/>
    <mergeCell ref="E7:F7"/>
    <mergeCell ref="B2:M2"/>
    <mergeCell ref="B3:M3"/>
    <mergeCell ref="B6:M6"/>
    <mergeCell ref="B5:M5"/>
    <mergeCell ref="J8:K8"/>
    <mergeCell ref="L8:M8"/>
  </mergeCells>
  <printOptions horizontalCentered="1"/>
  <pageMargins left="0.7" right="0.7" top="0.75" bottom="0.75" header="0.3" footer="0.3"/>
  <pageSetup paperSize="9" scale="78" firstPageNumber="10" orientation="landscape" useFirstPageNumber="1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1:Q17"/>
  <sheetViews>
    <sheetView view="pageBreakPreview" zoomScale="69" zoomScaleSheetLayoutView="69" workbookViewId="0">
      <selection activeCell="Q9" sqref="Q9"/>
    </sheetView>
  </sheetViews>
  <sheetFormatPr defaultRowHeight="15.75"/>
  <cols>
    <col min="1" max="1" width="3" style="1" customWidth="1"/>
    <col min="2" max="2" width="9.140625" style="1"/>
    <col min="3" max="3" width="56.42578125" style="1" customWidth="1"/>
    <col min="4" max="4" width="13.28515625" style="1" hidden="1" customWidth="1"/>
    <col min="5" max="5" width="19.140625" style="1" hidden="1" customWidth="1"/>
    <col min="6" max="7" width="18.7109375" style="1" hidden="1" customWidth="1"/>
    <col min="8" max="8" width="19.7109375" style="1" hidden="1" customWidth="1"/>
    <col min="9" max="9" width="14.42578125" style="1" customWidth="1"/>
    <col min="10" max="10" width="16.5703125" style="1" hidden="1" customWidth="1"/>
    <col min="11" max="11" width="20.5703125" style="1" hidden="1" customWidth="1"/>
    <col min="12" max="12" width="22.85546875" style="1" customWidth="1"/>
    <col min="13" max="13" width="21" style="1" customWidth="1"/>
    <col min="14" max="15" width="21.42578125" style="1" customWidth="1"/>
    <col min="16" max="16" width="16" style="1" customWidth="1"/>
    <col min="17" max="16384" width="9.140625" style="1"/>
  </cols>
  <sheetData>
    <row r="1" spans="2:17" ht="15.75" customHeight="1">
      <c r="B1" s="2418" t="s">
        <v>2549</v>
      </c>
      <c r="C1" s="2418"/>
      <c r="D1" s="2418"/>
      <c r="E1" s="2418"/>
      <c r="F1" s="2418"/>
      <c r="G1" s="2418"/>
      <c r="H1" s="2418"/>
      <c r="I1" s="2418"/>
      <c r="J1" s="2418"/>
      <c r="K1" s="2418"/>
      <c r="L1" s="2418"/>
      <c r="M1" s="2418"/>
      <c r="N1" s="2418"/>
    </row>
    <row r="2" spans="2:17" ht="15.75" customHeight="1">
      <c r="B2" s="2419" t="s">
        <v>2689</v>
      </c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N2" s="2419"/>
    </row>
    <row r="3" spans="2:17">
      <c r="C3" s="2184"/>
      <c r="D3" s="2184"/>
      <c r="E3" s="2184"/>
      <c r="F3" s="2184"/>
      <c r="G3" s="2184"/>
      <c r="H3" s="2184"/>
      <c r="I3" s="2184"/>
      <c r="M3" s="2444" t="s">
        <v>2799</v>
      </c>
      <c r="N3" s="2444"/>
    </row>
    <row r="4" spans="2:17">
      <c r="B4" s="2541" t="s">
        <v>2583</v>
      </c>
      <c r="C4" s="2541"/>
      <c r="D4" s="2541"/>
      <c r="E4" s="2541"/>
      <c r="F4" s="2541"/>
      <c r="G4" s="2541"/>
      <c r="H4" s="2541"/>
      <c r="I4" s="2541"/>
      <c r="J4" s="2541"/>
      <c r="K4" s="2541"/>
      <c r="L4" s="2541"/>
      <c r="M4" s="2541"/>
      <c r="N4" s="2541"/>
    </row>
    <row r="5" spans="2:17">
      <c r="B5" s="2447" t="s">
        <v>100</v>
      </c>
      <c r="C5" s="2447"/>
      <c r="D5" s="2447"/>
      <c r="E5" s="2447"/>
      <c r="F5" s="2447"/>
      <c r="G5" s="2447"/>
      <c r="H5" s="2447"/>
      <c r="I5" s="2447"/>
      <c r="J5" s="2447"/>
      <c r="K5" s="2447"/>
      <c r="L5" s="2447"/>
      <c r="M5" s="2447"/>
      <c r="N5" s="2447"/>
    </row>
    <row r="6" spans="2:17" ht="16.5" thickBot="1">
      <c r="C6" s="2193"/>
      <c r="D6" s="2193"/>
      <c r="E6" s="2193"/>
      <c r="F6" s="2193" t="s">
        <v>96</v>
      </c>
      <c r="G6" s="2193"/>
      <c r="N6" s="1467" t="s">
        <v>96</v>
      </c>
    </row>
    <row r="7" spans="2:17">
      <c r="B7" s="2448" t="s">
        <v>349</v>
      </c>
      <c r="C7" s="2450" t="s">
        <v>331</v>
      </c>
      <c r="D7" s="2450" t="s">
        <v>1034</v>
      </c>
      <c r="E7" s="2450"/>
      <c r="F7" s="2450"/>
      <c r="G7" s="2450"/>
      <c r="H7" s="2450" t="s">
        <v>2591</v>
      </c>
      <c r="I7" s="2450"/>
      <c r="J7" s="2450"/>
      <c r="K7" s="2450"/>
      <c r="L7" s="2450"/>
      <c r="M7" s="2469" t="s">
        <v>2592</v>
      </c>
      <c r="N7" s="2527"/>
    </row>
    <row r="8" spans="2:17" ht="31.5">
      <c r="B8" s="2449"/>
      <c r="C8" s="2451"/>
      <c r="D8" s="2189" t="s">
        <v>1228</v>
      </c>
      <c r="E8" s="2192" t="s">
        <v>1036</v>
      </c>
      <c r="F8" s="2189" t="s">
        <v>1038</v>
      </c>
      <c r="G8" s="2192" t="s">
        <v>1037</v>
      </c>
      <c r="H8" s="2189" t="s">
        <v>1228</v>
      </c>
      <c r="I8" s="2192" t="s">
        <v>2508</v>
      </c>
      <c r="J8" s="2192" t="s">
        <v>1229</v>
      </c>
      <c r="K8" s="2192" t="s">
        <v>2568</v>
      </c>
      <c r="L8" s="2192" t="s">
        <v>2768</v>
      </c>
      <c r="M8" s="2141" t="s">
        <v>1040</v>
      </c>
      <c r="N8" s="2141" t="s">
        <v>2764</v>
      </c>
    </row>
    <row r="9" spans="2:17">
      <c r="B9" s="2191"/>
      <c r="C9" s="2192" t="s">
        <v>2553</v>
      </c>
      <c r="D9" s="2189">
        <v>1</v>
      </c>
      <c r="E9" s="2189">
        <v>2</v>
      </c>
      <c r="F9" s="2189">
        <v>3</v>
      </c>
      <c r="G9" s="2189">
        <v>4</v>
      </c>
      <c r="H9" s="2189">
        <v>5</v>
      </c>
      <c r="I9" s="2189">
        <v>1</v>
      </c>
      <c r="J9" s="2189">
        <v>2</v>
      </c>
      <c r="K9" s="2189">
        <v>3</v>
      </c>
      <c r="L9" s="2189">
        <v>2</v>
      </c>
      <c r="M9" s="2173"/>
      <c r="N9" s="2141">
        <v>3</v>
      </c>
    </row>
    <row r="10" spans="2:17" ht="27" customHeight="1">
      <c r="B10" s="2007">
        <v>1</v>
      </c>
      <c r="C10" s="1478" t="s">
        <v>1444</v>
      </c>
      <c r="D10" s="1471">
        <f>F15R!D11</f>
        <v>328.5</v>
      </c>
      <c r="E10" s="1197">
        <f>F15R!E11</f>
        <v>328.5</v>
      </c>
      <c r="F10" s="1197" t="s">
        <v>296</v>
      </c>
      <c r="G10" s="2008">
        <f>D10</f>
        <v>328.5</v>
      </c>
      <c r="H10" s="1197">
        <f>F15R!$E$26/F15R!$E$27</f>
        <v>328.5</v>
      </c>
      <c r="I10" s="1471">
        <f>F15R!I11</f>
        <v>328.5</v>
      </c>
      <c r="J10" s="1471"/>
      <c r="K10" s="1471"/>
      <c r="L10" s="1471">
        <v>605.83000000000004</v>
      </c>
      <c r="M10" s="2223">
        <v>328.5</v>
      </c>
      <c r="N10" s="1640">
        <f>L10</f>
        <v>605.83000000000004</v>
      </c>
      <c r="Q10" s="2333"/>
    </row>
    <row r="11" spans="2:17" ht="35.25" customHeight="1">
      <c r="B11" s="2007">
        <v>2</v>
      </c>
      <c r="C11" s="1478" t="s">
        <v>2436</v>
      </c>
      <c r="D11" s="1471">
        <v>0</v>
      </c>
      <c r="E11" s="1197">
        <v>0</v>
      </c>
      <c r="F11" s="1197" t="s">
        <v>296</v>
      </c>
      <c r="G11" s="2008">
        <f>G14*G10</f>
        <v>50.917499999999997</v>
      </c>
      <c r="H11" s="1197">
        <v>0</v>
      </c>
      <c r="I11" s="1471">
        <v>0</v>
      </c>
      <c r="J11" s="1471"/>
      <c r="K11" s="1471"/>
      <c r="L11" s="1471">
        <v>0</v>
      </c>
      <c r="M11" s="2223">
        <v>0</v>
      </c>
      <c r="N11" s="1640">
        <v>0</v>
      </c>
    </row>
    <row r="12" spans="2:17" ht="27" customHeight="1">
      <c r="B12" s="2007">
        <v>3</v>
      </c>
      <c r="C12" s="1478" t="s">
        <v>2068</v>
      </c>
      <c r="D12" s="1471">
        <f>D10+D11</f>
        <v>328.5</v>
      </c>
      <c r="E12" s="1197">
        <f>E10+E11</f>
        <v>328.5</v>
      </c>
      <c r="F12" s="1197" t="s">
        <v>296</v>
      </c>
      <c r="G12" s="1197">
        <f>G10+G11</f>
        <v>379.41750000000002</v>
      </c>
      <c r="H12" s="1197">
        <v>0</v>
      </c>
      <c r="I12" s="1471">
        <v>328.5</v>
      </c>
      <c r="J12" s="1471"/>
      <c r="K12" s="1471"/>
      <c r="L12" s="1471">
        <f>L10+L11</f>
        <v>605.83000000000004</v>
      </c>
      <c r="M12" s="2223">
        <v>328.5</v>
      </c>
      <c r="N12" s="1640">
        <f>N10+N11</f>
        <v>605.83000000000004</v>
      </c>
    </row>
    <row r="13" spans="2:17" ht="27" customHeight="1">
      <c r="B13" s="2007">
        <v>4</v>
      </c>
      <c r="C13" s="1396" t="s">
        <v>421</v>
      </c>
      <c r="D13" s="1471">
        <f>D10*D14</f>
        <v>77.136039993940315</v>
      </c>
      <c r="E13" s="1197">
        <f>E10*E14</f>
        <v>45.99</v>
      </c>
      <c r="F13" s="1197" t="s">
        <v>296</v>
      </c>
      <c r="G13" s="1197">
        <f>G10*G14</f>
        <v>50.917499999999997</v>
      </c>
      <c r="H13" s="1197">
        <f>H10*H14</f>
        <v>77.136039993940315</v>
      </c>
      <c r="I13" s="1471">
        <f>I10*I14</f>
        <v>75.390749999999997</v>
      </c>
      <c r="J13" s="1471"/>
      <c r="K13" s="1471"/>
      <c r="L13" s="1471">
        <f>L10*L14</f>
        <v>139.01354552183568</v>
      </c>
      <c r="M13" s="1471">
        <f>M10*M14</f>
        <v>75.377498149518871</v>
      </c>
      <c r="N13" s="1640">
        <f>N10*N14</f>
        <v>93.903649999999999</v>
      </c>
    </row>
    <row r="14" spans="2:17" ht="27" customHeight="1" thickBot="1">
      <c r="B14" s="2009">
        <v>5</v>
      </c>
      <c r="C14" s="2010" t="s">
        <v>424</v>
      </c>
      <c r="D14" s="1641">
        <f>15.5%/(1-0.3399)</f>
        <v>0.23481290713528252</v>
      </c>
      <c r="E14" s="1642">
        <v>0.14000000000000001</v>
      </c>
      <c r="F14" s="1642" t="s">
        <v>296</v>
      </c>
      <c r="G14" s="1642">
        <f>15.5%</f>
        <v>0.155</v>
      </c>
      <c r="H14" s="1642">
        <f>15.5%/(1-0.3399)</f>
        <v>0.23481290713528252</v>
      </c>
      <c r="I14" s="1641">
        <v>0.22950000000000001</v>
      </c>
      <c r="J14" s="1643"/>
      <c r="K14" s="1643"/>
      <c r="L14" s="1641">
        <f>RoE/(1-Tax_rate)</f>
        <v>0.22945965951147299</v>
      </c>
      <c r="M14" s="1641">
        <f>RoE/(1-Tax_rate)</f>
        <v>0.22945965951147299</v>
      </c>
      <c r="N14" s="1644">
        <v>0.155</v>
      </c>
    </row>
    <row r="17" spans="2:2" hidden="1">
      <c r="B17" s="1" t="s">
        <v>1445</v>
      </c>
    </row>
  </sheetData>
  <sheetProtection selectLockedCells="1" selectUnlockedCells="1"/>
  <mergeCells count="10">
    <mergeCell ref="B1:N1"/>
    <mergeCell ref="B2:N2"/>
    <mergeCell ref="B4:N4"/>
    <mergeCell ref="B5:N5"/>
    <mergeCell ref="H7:L7"/>
    <mergeCell ref="B7:B8"/>
    <mergeCell ref="C7:C8"/>
    <mergeCell ref="D7:G7"/>
    <mergeCell ref="M7:N7"/>
    <mergeCell ref="M3:N3"/>
  </mergeCells>
  <printOptions horizontalCentered="1"/>
  <pageMargins left="0.7" right="0.7" top="0.75" bottom="0.75" header="0.3" footer="0.3"/>
  <pageSetup paperSize="9" scale="86" firstPageNumber="11" orientation="landscape" useFirstPageNumber="1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M17"/>
  <sheetViews>
    <sheetView view="pageBreakPreview" zoomScale="69" zoomScaleSheetLayoutView="69" workbookViewId="0">
      <selection activeCell="I10" sqref="I10"/>
    </sheetView>
  </sheetViews>
  <sheetFormatPr defaultRowHeight="15.75"/>
  <cols>
    <col min="1" max="1" width="3" style="1" customWidth="1"/>
    <col min="2" max="2" width="9.140625" style="1"/>
    <col min="3" max="3" width="56.42578125" style="1" customWidth="1"/>
    <col min="4" max="4" width="13.28515625" style="1" hidden="1" customWidth="1"/>
    <col min="5" max="5" width="19.140625" style="1" hidden="1" customWidth="1"/>
    <col min="6" max="7" width="18.7109375" style="1" hidden="1" customWidth="1"/>
    <col min="8" max="8" width="19.7109375" style="1" hidden="1" customWidth="1"/>
    <col min="9" max="9" width="14.42578125" style="1" customWidth="1"/>
    <col min="10" max="10" width="16.5703125" style="1" hidden="1" customWidth="1"/>
    <col min="11" max="11" width="20.5703125" style="1" hidden="1" customWidth="1"/>
    <col min="12" max="12" width="28" style="1" customWidth="1"/>
    <col min="13" max="13" width="40.7109375" style="1" customWidth="1"/>
    <col min="14" max="14" width="21.42578125" style="1" customWidth="1"/>
    <col min="15" max="15" width="16" style="1" customWidth="1"/>
    <col min="16" max="16384" width="9.140625" style="1"/>
  </cols>
  <sheetData>
    <row r="1" spans="2:13" ht="15.75" customHeight="1">
      <c r="B1" s="2418" t="s">
        <v>2549</v>
      </c>
      <c r="C1" s="2418"/>
      <c r="D1" s="2418"/>
      <c r="E1" s="2418"/>
      <c r="F1" s="2418"/>
      <c r="G1" s="2418"/>
      <c r="H1" s="2418"/>
      <c r="I1" s="2418"/>
      <c r="J1" s="2418"/>
      <c r="K1" s="2418"/>
      <c r="L1" s="2418"/>
      <c r="M1" s="2418"/>
    </row>
    <row r="2" spans="2:13" ht="15.75" customHeight="1">
      <c r="B2" s="2419" t="s">
        <v>2689</v>
      </c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</row>
    <row r="3" spans="2:13">
      <c r="C3" s="1843"/>
      <c r="D3" s="1843"/>
      <c r="E3" s="1843"/>
      <c r="F3" s="1843"/>
      <c r="G3" s="1843"/>
      <c r="H3" s="1843"/>
      <c r="I3" s="1843"/>
    </row>
    <row r="4" spans="2:13">
      <c r="B4" s="2541" t="s">
        <v>2583</v>
      </c>
      <c r="C4" s="2541"/>
      <c r="D4" s="2541"/>
      <c r="E4" s="2541"/>
      <c r="F4" s="2541"/>
      <c r="G4" s="2541"/>
      <c r="H4" s="2541"/>
      <c r="I4" s="2541"/>
      <c r="J4" s="2541"/>
      <c r="K4" s="2541"/>
      <c r="L4" s="2541"/>
      <c r="M4" s="2541"/>
    </row>
    <row r="5" spans="2:13">
      <c r="B5" s="2447" t="s">
        <v>100</v>
      </c>
      <c r="C5" s="2447"/>
      <c r="D5" s="2447"/>
      <c r="E5" s="2447"/>
      <c r="F5" s="2447"/>
      <c r="G5" s="2447"/>
      <c r="H5" s="2447"/>
      <c r="I5" s="2447"/>
      <c r="J5" s="2447"/>
      <c r="K5" s="2447"/>
      <c r="L5" s="2447"/>
      <c r="M5" s="2447"/>
    </row>
    <row r="6" spans="2:13" ht="16.5" thickBot="1">
      <c r="C6" s="1856"/>
      <c r="D6" s="1856"/>
      <c r="E6" s="1856"/>
      <c r="F6" s="1856" t="s">
        <v>96</v>
      </c>
      <c r="G6" s="1856"/>
      <c r="M6" s="1467" t="s">
        <v>96</v>
      </c>
    </row>
    <row r="7" spans="2:13">
      <c r="B7" s="2448" t="s">
        <v>349</v>
      </c>
      <c r="C7" s="2450" t="s">
        <v>331</v>
      </c>
      <c r="D7" s="2450" t="s">
        <v>1034</v>
      </c>
      <c r="E7" s="2450"/>
      <c r="F7" s="2450"/>
      <c r="G7" s="2450"/>
      <c r="H7" s="2450" t="s">
        <v>2591</v>
      </c>
      <c r="I7" s="2450"/>
      <c r="J7" s="2450"/>
      <c r="K7" s="2450"/>
      <c r="L7" s="2450"/>
      <c r="M7" s="2142" t="s">
        <v>2592</v>
      </c>
    </row>
    <row r="8" spans="2:13" ht="31.5">
      <c r="B8" s="2449"/>
      <c r="C8" s="2451"/>
      <c r="D8" s="2140" t="s">
        <v>1228</v>
      </c>
      <c r="E8" s="2144" t="s">
        <v>1036</v>
      </c>
      <c r="F8" s="2140" t="s">
        <v>1038</v>
      </c>
      <c r="G8" s="2144" t="s">
        <v>1037</v>
      </c>
      <c r="H8" s="2140" t="s">
        <v>1228</v>
      </c>
      <c r="I8" s="2144" t="s">
        <v>1036</v>
      </c>
      <c r="J8" s="2144" t="s">
        <v>1229</v>
      </c>
      <c r="K8" s="2144" t="s">
        <v>2568</v>
      </c>
      <c r="L8" s="2144" t="s">
        <v>287</v>
      </c>
      <c r="M8" s="2141" t="s">
        <v>1040</v>
      </c>
    </row>
    <row r="9" spans="2:13">
      <c r="B9" s="2145"/>
      <c r="C9" s="2144" t="s">
        <v>2553</v>
      </c>
      <c r="D9" s="2140">
        <v>1</v>
      </c>
      <c r="E9" s="2140">
        <v>2</v>
      </c>
      <c r="F9" s="2140">
        <v>3</v>
      </c>
      <c r="G9" s="2140">
        <v>4</v>
      </c>
      <c r="H9" s="2140">
        <v>5</v>
      </c>
      <c r="I9" s="2140">
        <v>1</v>
      </c>
      <c r="J9" s="2140">
        <v>2</v>
      </c>
      <c r="K9" s="2140">
        <v>3</v>
      </c>
      <c r="L9" s="2140">
        <v>2</v>
      </c>
      <c r="M9" s="2141">
        <v>3</v>
      </c>
    </row>
    <row r="10" spans="2:13" ht="27" customHeight="1">
      <c r="B10" s="2007">
        <v>1</v>
      </c>
      <c r="C10" s="1478" t="s">
        <v>1444</v>
      </c>
      <c r="D10" s="1471">
        <f>'F15'!D11</f>
        <v>328.5</v>
      </c>
      <c r="E10" s="1197">
        <f>'F15'!E11</f>
        <v>328.5</v>
      </c>
      <c r="F10" s="1197" t="s">
        <v>296</v>
      </c>
      <c r="G10" s="2008">
        <f>D10</f>
        <v>328.5</v>
      </c>
      <c r="H10" s="1197">
        <f>'F15'!$E$26/'F15'!$E$27</f>
        <v>328.5</v>
      </c>
      <c r="I10" s="1471">
        <f>'F15'!I11</f>
        <v>328.5</v>
      </c>
      <c r="J10" s="1471"/>
      <c r="K10" s="1471"/>
      <c r="L10" s="1471">
        <f>I10</f>
        <v>328.5</v>
      </c>
      <c r="M10" s="1640">
        <f>L10</f>
        <v>328.5</v>
      </c>
    </row>
    <row r="11" spans="2:13" ht="35.25" customHeight="1">
      <c r="B11" s="2007">
        <v>2</v>
      </c>
      <c r="C11" s="1478" t="s">
        <v>2436</v>
      </c>
      <c r="D11" s="1471">
        <v>0</v>
      </c>
      <c r="E11" s="1197">
        <v>0</v>
      </c>
      <c r="F11" s="1197" t="s">
        <v>296</v>
      </c>
      <c r="G11" s="2008">
        <f>G14*G10</f>
        <v>50.917499999999997</v>
      </c>
      <c r="H11" s="1197">
        <v>0</v>
      </c>
      <c r="I11" s="1471">
        <v>0</v>
      </c>
      <c r="J11" s="1471"/>
      <c r="K11" s="1471"/>
      <c r="L11" s="1471">
        <v>0</v>
      </c>
      <c r="M11" s="1640">
        <v>0</v>
      </c>
    </row>
    <row r="12" spans="2:13" ht="27" customHeight="1">
      <c r="B12" s="2007">
        <v>3</v>
      </c>
      <c r="C12" s="1478" t="s">
        <v>2068</v>
      </c>
      <c r="D12" s="1471">
        <f>D10+D11</f>
        <v>328.5</v>
      </c>
      <c r="E12" s="1197">
        <f>E10+E11</f>
        <v>328.5</v>
      </c>
      <c r="F12" s="1197" t="s">
        <v>296</v>
      </c>
      <c r="G12" s="1197">
        <f>G10+G11</f>
        <v>379.41750000000002</v>
      </c>
      <c r="H12" s="1197">
        <v>0</v>
      </c>
      <c r="I12" s="1471">
        <v>0</v>
      </c>
      <c r="J12" s="1471"/>
      <c r="K12" s="1471"/>
      <c r="L12" s="1471">
        <f>L10+L11</f>
        <v>328.5</v>
      </c>
      <c r="M12" s="1640">
        <f>M10+M11</f>
        <v>328.5</v>
      </c>
    </row>
    <row r="13" spans="2:13" ht="27" customHeight="1">
      <c r="B13" s="2007">
        <v>4</v>
      </c>
      <c r="C13" s="1396" t="s">
        <v>421</v>
      </c>
      <c r="D13" s="1471">
        <f>D10*D14</f>
        <v>77.136039993940315</v>
      </c>
      <c r="E13" s="1197">
        <f>E10*E14</f>
        <v>45.99</v>
      </c>
      <c r="F13" s="1197" t="s">
        <v>296</v>
      </c>
      <c r="G13" s="1197">
        <f>G10*G14</f>
        <v>50.917499999999997</v>
      </c>
      <c r="H13" s="1197">
        <f>H10*H14</f>
        <v>77.136039993940315</v>
      </c>
      <c r="I13" s="1471">
        <f>I10*I14</f>
        <v>50.917499999999997</v>
      </c>
      <c r="J13" s="1471"/>
      <c r="K13" s="1471"/>
      <c r="L13" s="1471">
        <f>L10*L14</f>
        <v>75.377498149518871</v>
      </c>
      <c r="M13" s="1640">
        <f>M10*M14</f>
        <v>75.377498149518871</v>
      </c>
    </row>
    <row r="14" spans="2:13" ht="27" customHeight="1" thickBot="1">
      <c r="B14" s="2009">
        <v>5</v>
      </c>
      <c r="C14" s="2010" t="s">
        <v>424</v>
      </c>
      <c r="D14" s="1641">
        <f>15.5%/(1-0.3399)</f>
        <v>0.23481290713528252</v>
      </c>
      <c r="E14" s="1642">
        <v>0.14000000000000001</v>
      </c>
      <c r="F14" s="1642" t="s">
        <v>296</v>
      </c>
      <c r="G14" s="1642">
        <f>15.5%</f>
        <v>0.155</v>
      </c>
      <c r="H14" s="1642">
        <f>15.5%/(1-0.3399)</f>
        <v>0.23481290713528252</v>
      </c>
      <c r="I14" s="1641">
        <v>0.155</v>
      </c>
      <c r="J14" s="1643"/>
      <c r="K14" s="1643"/>
      <c r="L14" s="1641">
        <f>RoE/(1-Tax_rate)</f>
        <v>0.22945965951147299</v>
      </c>
      <c r="M14" s="1644">
        <f>RoE/(1-Tax_rate)</f>
        <v>0.22945965951147299</v>
      </c>
    </row>
    <row r="17" spans="2:2" hidden="1">
      <c r="B17" s="1" t="s">
        <v>1445</v>
      </c>
    </row>
  </sheetData>
  <sheetProtection selectLockedCells="1" selectUnlockedCells="1"/>
  <mergeCells count="8">
    <mergeCell ref="B1:M1"/>
    <mergeCell ref="B2:M2"/>
    <mergeCell ref="B4:M4"/>
    <mergeCell ref="B5:M5"/>
    <mergeCell ref="H7:L7"/>
    <mergeCell ref="B7:B8"/>
    <mergeCell ref="C7:C8"/>
    <mergeCell ref="D7:G7"/>
  </mergeCells>
  <phoneticPr fontId="14" type="noConversion"/>
  <printOptions horizontalCentered="1"/>
  <pageMargins left="0.7" right="0.7" top="0.75" bottom="0.75" header="0.3" footer="0.3"/>
  <pageSetup paperSize="9" scale="86" firstPageNumber="11" orientation="landscape" useFirstPageNumber="1" r:id="rId1"/>
  <headerFoot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1:AB16"/>
  <sheetViews>
    <sheetView view="pageBreakPreview" zoomScale="60" zoomScaleNormal="69" workbookViewId="0">
      <selection activeCell="I10" sqref="I10"/>
    </sheetView>
  </sheetViews>
  <sheetFormatPr defaultRowHeight="15.75"/>
  <cols>
    <col min="1" max="1" width="9.140625" style="1"/>
    <col min="2" max="2" width="8.7109375" style="1" customWidth="1"/>
    <col min="3" max="3" width="16.5703125" style="1" bestFit="1" customWidth="1"/>
    <col min="4" max="6" width="11.28515625" style="1" hidden="1" customWidth="1"/>
    <col min="7" max="7" width="26.85546875" style="1" hidden="1" customWidth="1"/>
    <col min="8" max="8" width="13.42578125" style="1" hidden="1" customWidth="1"/>
    <col min="9" max="9" width="16.28515625" style="1" hidden="1" customWidth="1"/>
    <col min="10" max="10" width="13.85546875" style="1" hidden="1" customWidth="1"/>
    <col min="11" max="11" width="28.7109375" style="1" hidden="1" customWidth="1"/>
    <col min="12" max="12" width="13.42578125" style="1" hidden="1" customWidth="1"/>
    <col min="13" max="13" width="16.42578125" style="1" hidden="1" customWidth="1"/>
    <col min="14" max="14" width="17.140625" style="1" hidden="1" customWidth="1"/>
    <col min="15" max="15" width="20.5703125" style="1" hidden="1" customWidth="1"/>
    <col min="16" max="16" width="31.140625" style="1" customWidth="1"/>
    <col min="17" max="17" width="16.42578125" style="1" hidden="1" customWidth="1"/>
    <col min="18" max="19" width="0" style="1" hidden="1" customWidth="1"/>
    <col min="20" max="20" width="31.42578125" style="1" customWidth="1"/>
    <col min="21" max="23" width="0" style="1" hidden="1" customWidth="1"/>
    <col min="24" max="24" width="30" style="1" customWidth="1"/>
    <col min="25" max="27" width="0" style="1" hidden="1" customWidth="1"/>
    <col min="28" max="28" width="33.7109375" style="1" customWidth="1"/>
    <col min="29" max="257" width="9.140625" style="1"/>
    <col min="258" max="258" width="6.85546875" style="1" customWidth="1"/>
    <col min="259" max="259" width="13.140625" style="1" bestFit="1" customWidth="1"/>
    <col min="260" max="262" width="0" style="1" hidden="1" customWidth="1"/>
    <col min="263" max="263" width="26.85546875" style="1" customWidth="1"/>
    <col min="264" max="266" width="0" style="1" hidden="1" customWidth="1"/>
    <col min="267" max="267" width="28.7109375" style="1" customWidth="1"/>
    <col min="268" max="271" width="0" style="1" hidden="1" customWidth="1"/>
    <col min="272" max="272" width="25" style="1" customWidth="1"/>
    <col min="273" max="275" width="0" style="1" hidden="1" customWidth="1"/>
    <col min="276" max="276" width="21" style="1" customWidth="1"/>
    <col min="277" max="279" width="0" style="1" hidden="1" customWidth="1"/>
    <col min="280" max="280" width="25.85546875" style="1" customWidth="1"/>
    <col min="281" max="283" width="0" style="1" hidden="1" customWidth="1"/>
    <col min="284" max="284" width="23" style="1" customWidth="1"/>
    <col min="285" max="513" width="9.140625" style="1"/>
    <col min="514" max="514" width="6.85546875" style="1" customWidth="1"/>
    <col min="515" max="515" width="13.140625" style="1" bestFit="1" customWidth="1"/>
    <col min="516" max="518" width="0" style="1" hidden="1" customWidth="1"/>
    <col min="519" max="519" width="26.85546875" style="1" customWidth="1"/>
    <col min="520" max="522" width="0" style="1" hidden="1" customWidth="1"/>
    <col min="523" max="523" width="28.7109375" style="1" customWidth="1"/>
    <col min="524" max="527" width="0" style="1" hidden="1" customWidth="1"/>
    <col min="528" max="528" width="25" style="1" customWidth="1"/>
    <col min="529" max="531" width="0" style="1" hidden="1" customWidth="1"/>
    <col min="532" max="532" width="21" style="1" customWidth="1"/>
    <col min="533" max="535" width="0" style="1" hidden="1" customWidth="1"/>
    <col min="536" max="536" width="25.85546875" style="1" customWidth="1"/>
    <col min="537" max="539" width="0" style="1" hidden="1" customWidth="1"/>
    <col min="540" max="540" width="23" style="1" customWidth="1"/>
    <col min="541" max="769" width="9.140625" style="1"/>
    <col min="770" max="770" width="6.85546875" style="1" customWidth="1"/>
    <col min="771" max="771" width="13.140625" style="1" bestFit="1" customWidth="1"/>
    <col min="772" max="774" width="0" style="1" hidden="1" customWidth="1"/>
    <col min="775" max="775" width="26.85546875" style="1" customWidth="1"/>
    <col min="776" max="778" width="0" style="1" hidden="1" customWidth="1"/>
    <col min="779" max="779" width="28.7109375" style="1" customWidth="1"/>
    <col min="780" max="783" width="0" style="1" hidden="1" customWidth="1"/>
    <col min="784" max="784" width="25" style="1" customWidth="1"/>
    <col min="785" max="787" width="0" style="1" hidden="1" customWidth="1"/>
    <col min="788" max="788" width="21" style="1" customWidth="1"/>
    <col min="789" max="791" width="0" style="1" hidden="1" customWidth="1"/>
    <col min="792" max="792" width="25.85546875" style="1" customWidth="1"/>
    <col min="793" max="795" width="0" style="1" hidden="1" customWidth="1"/>
    <col min="796" max="796" width="23" style="1" customWidth="1"/>
    <col min="797" max="1025" width="9.140625" style="1"/>
    <col min="1026" max="1026" width="6.85546875" style="1" customWidth="1"/>
    <col min="1027" max="1027" width="13.140625" style="1" bestFit="1" customWidth="1"/>
    <col min="1028" max="1030" width="0" style="1" hidden="1" customWidth="1"/>
    <col min="1031" max="1031" width="26.85546875" style="1" customWidth="1"/>
    <col min="1032" max="1034" width="0" style="1" hidden="1" customWidth="1"/>
    <col min="1035" max="1035" width="28.7109375" style="1" customWidth="1"/>
    <col min="1036" max="1039" width="0" style="1" hidden="1" customWidth="1"/>
    <col min="1040" max="1040" width="25" style="1" customWidth="1"/>
    <col min="1041" max="1043" width="0" style="1" hidden="1" customWidth="1"/>
    <col min="1044" max="1044" width="21" style="1" customWidth="1"/>
    <col min="1045" max="1047" width="0" style="1" hidden="1" customWidth="1"/>
    <col min="1048" max="1048" width="25.85546875" style="1" customWidth="1"/>
    <col min="1049" max="1051" width="0" style="1" hidden="1" customWidth="1"/>
    <col min="1052" max="1052" width="23" style="1" customWidth="1"/>
    <col min="1053" max="1281" width="9.140625" style="1"/>
    <col min="1282" max="1282" width="6.85546875" style="1" customWidth="1"/>
    <col min="1283" max="1283" width="13.140625" style="1" bestFit="1" customWidth="1"/>
    <col min="1284" max="1286" width="0" style="1" hidden="1" customWidth="1"/>
    <col min="1287" max="1287" width="26.85546875" style="1" customWidth="1"/>
    <col min="1288" max="1290" width="0" style="1" hidden="1" customWidth="1"/>
    <col min="1291" max="1291" width="28.7109375" style="1" customWidth="1"/>
    <col min="1292" max="1295" width="0" style="1" hidden="1" customWidth="1"/>
    <col min="1296" max="1296" width="25" style="1" customWidth="1"/>
    <col min="1297" max="1299" width="0" style="1" hidden="1" customWidth="1"/>
    <col min="1300" max="1300" width="21" style="1" customWidth="1"/>
    <col min="1301" max="1303" width="0" style="1" hidden="1" customWidth="1"/>
    <col min="1304" max="1304" width="25.85546875" style="1" customWidth="1"/>
    <col min="1305" max="1307" width="0" style="1" hidden="1" customWidth="1"/>
    <col min="1308" max="1308" width="23" style="1" customWidth="1"/>
    <col min="1309" max="1537" width="9.140625" style="1"/>
    <col min="1538" max="1538" width="6.85546875" style="1" customWidth="1"/>
    <col min="1539" max="1539" width="13.140625" style="1" bestFit="1" customWidth="1"/>
    <col min="1540" max="1542" width="0" style="1" hidden="1" customWidth="1"/>
    <col min="1543" max="1543" width="26.85546875" style="1" customWidth="1"/>
    <col min="1544" max="1546" width="0" style="1" hidden="1" customWidth="1"/>
    <col min="1547" max="1547" width="28.7109375" style="1" customWidth="1"/>
    <col min="1548" max="1551" width="0" style="1" hidden="1" customWidth="1"/>
    <col min="1552" max="1552" width="25" style="1" customWidth="1"/>
    <col min="1553" max="1555" width="0" style="1" hidden="1" customWidth="1"/>
    <col min="1556" max="1556" width="21" style="1" customWidth="1"/>
    <col min="1557" max="1559" width="0" style="1" hidden="1" customWidth="1"/>
    <col min="1560" max="1560" width="25.85546875" style="1" customWidth="1"/>
    <col min="1561" max="1563" width="0" style="1" hidden="1" customWidth="1"/>
    <col min="1564" max="1564" width="23" style="1" customWidth="1"/>
    <col min="1565" max="1793" width="9.140625" style="1"/>
    <col min="1794" max="1794" width="6.85546875" style="1" customWidth="1"/>
    <col min="1795" max="1795" width="13.140625" style="1" bestFit="1" customWidth="1"/>
    <col min="1796" max="1798" width="0" style="1" hidden="1" customWidth="1"/>
    <col min="1799" max="1799" width="26.85546875" style="1" customWidth="1"/>
    <col min="1800" max="1802" width="0" style="1" hidden="1" customWidth="1"/>
    <col min="1803" max="1803" width="28.7109375" style="1" customWidth="1"/>
    <col min="1804" max="1807" width="0" style="1" hidden="1" customWidth="1"/>
    <col min="1808" max="1808" width="25" style="1" customWidth="1"/>
    <col min="1809" max="1811" width="0" style="1" hidden="1" customWidth="1"/>
    <col min="1812" max="1812" width="21" style="1" customWidth="1"/>
    <col min="1813" max="1815" width="0" style="1" hidden="1" customWidth="1"/>
    <col min="1816" max="1816" width="25.85546875" style="1" customWidth="1"/>
    <col min="1817" max="1819" width="0" style="1" hidden="1" customWidth="1"/>
    <col min="1820" max="1820" width="23" style="1" customWidth="1"/>
    <col min="1821" max="2049" width="9.140625" style="1"/>
    <col min="2050" max="2050" width="6.85546875" style="1" customWidth="1"/>
    <col min="2051" max="2051" width="13.140625" style="1" bestFit="1" customWidth="1"/>
    <col min="2052" max="2054" width="0" style="1" hidden="1" customWidth="1"/>
    <col min="2055" max="2055" width="26.85546875" style="1" customWidth="1"/>
    <col min="2056" max="2058" width="0" style="1" hidden="1" customWidth="1"/>
    <col min="2059" max="2059" width="28.7109375" style="1" customWidth="1"/>
    <col min="2060" max="2063" width="0" style="1" hidden="1" customWidth="1"/>
    <col min="2064" max="2064" width="25" style="1" customWidth="1"/>
    <col min="2065" max="2067" width="0" style="1" hidden="1" customWidth="1"/>
    <col min="2068" max="2068" width="21" style="1" customWidth="1"/>
    <col min="2069" max="2071" width="0" style="1" hidden="1" customWidth="1"/>
    <col min="2072" max="2072" width="25.85546875" style="1" customWidth="1"/>
    <col min="2073" max="2075" width="0" style="1" hidden="1" customWidth="1"/>
    <col min="2076" max="2076" width="23" style="1" customWidth="1"/>
    <col min="2077" max="2305" width="9.140625" style="1"/>
    <col min="2306" max="2306" width="6.85546875" style="1" customWidth="1"/>
    <col min="2307" max="2307" width="13.140625" style="1" bestFit="1" customWidth="1"/>
    <col min="2308" max="2310" width="0" style="1" hidden="1" customWidth="1"/>
    <col min="2311" max="2311" width="26.85546875" style="1" customWidth="1"/>
    <col min="2312" max="2314" width="0" style="1" hidden="1" customWidth="1"/>
    <col min="2315" max="2315" width="28.7109375" style="1" customWidth="1"/>
    <col min="2316" max="2319" width="0" style="1" hidden="1" customWidth="1"/>
    <col min="2320" max="2320" width="25" style="1" customWidth="1"/>
    <col min="2321" max="2323" width="0" style="1" hidden="1" customWidth="1"/>
    <col min="2324" max="2324" width="21" style="1" customWidth="1"/>
    <col min="2325" max="2327" width="0" style="1" hidden="1" customWidth="1"/>
    <col min="2328" max="2328" width="25.85546875" style="1" customWidth="1"/>
    <col min="2329" max="2331" width="0" style="1" hidden="1" customWidth="1"/>
    <col min="2332" max="2332" width="23" style="1" customWidth="1"/>
    <col min="2333" max="2561" width="9.140625" style="1"/>
    <col min="2562" max="2562" width="6.85546875" style="1" customWidth="1"/>
    <col min="2563" max="2563" width="13.140625" style="1" bestFit="1" customWidth="1"/>
    <col min="2564" max="2566" width="0" style="1" hidden="1" customWidth="1"/>
    <col min="2567" max="2567" width="26.85546875" style="1" customWidth="1"/>
    <col min="2568" max="2570" width="0" style="1" hidden="1" customWidth="1"/>
    <col min="2571" max="2571" width="28.7109375" style="1" customWidth="1"/>
    <col min="2572" max="2575" width="0" style="1" hidden="1" customWidth="1"/>
    <col min="2576" max="2576" width="25" style="1" customWidth="1"/>
    <col min="2577" max="2579" width="0" style="1" hidden="1" customWidth="1"/>
    <col min="2580" max="2580" width="21" style="1" customWidth="1"/>
    <col min="2581" max="2583" width="0" style="1" hidden="1" customWidth="1"/>
    <col min="2584" max="2584" width="25.85546875" style="1" customWidth="1"/>
    <col min="2585" max="2587" width="0" style="1" hidden="1" customWidth="1"/>
    <col min="2588" max="2588" width="23" style="1" customWidth="1"/>
    <col min="2589" max="2817" width="9.140625" style="1"/>
    <col min="2818" max="2818" width="6.85546875" style="1" customWidth="1"/>
    <col min="2819" max="2819" width="13.140625" style="1" bestFit="1" customWidth="1"/>
    <col min="2820" max="2822" width="0" style="1" hidden="1" customWidth="1"/>
    <col min="2823" max="2823" width="26.85546875" style="1" customWidth="1"/>
    <col min="2824" max="2826" width="0" style="1" hidden="1" customWidth="1"/>
    <col min="2827" max="2827" width="28.7109375" style="1" customWidth="1"/>
    <col min="2828" max="2831" width="0" style="1" hidden="1" customWidth="1"/>
    <col min="2832" max="2832" width="25" style="1" customWidth="1"/>
    <col min="2833" max="2835" width="0" style="1" hidden="1" customWidth="1"/>
    <col min="2836" max="2836" width="21" style="1" customWidth="1"/>
    <col min="2837" max="2839" width="0" style="1" hidden="1" customWidth="1"/>
    <col min="2840" max="2840" width="25.85546875" style="1" customWidth="1"/>
    <col min="2841" max="2843" width="0" style="1" hidden="1" customWidth="1"/>
    <col min="2844" max="2844" width="23" style="1" customWidth="1"/>
    <col min="2845" max="3073" width="9.140625" style="1"/>
    <col min="3074" max="3074" width="6.85546875" style="1" customWidth="1"/>
    <col min="3075" max="3075" width="13.140625" style="1" bestFit="1" customWidth="1"/>
    <col min="3076" max="3078" width="0" style="1" hidden="1" customWidth="1"/>
    <col min="3079" max="3079" width="26.85546875" style="1" customWidth="1"/>
    <col min="3080" max="3082" width="0" style="1" hidden="1" customWidth="1"/>
    <col min="3083" max="3083" width="28.7109375" style="1" customWidth="1"/>
    <col min="3084" max="3087" width="0" style="1" hidden="1" customWidth="1"/>
    <col min="3088" max="3088" width="25" style="1" customWidth="1"/>
    <col min="3089" max="3091" width="0" style="1" hidden="1" customWidth="1"/>
    <col min="3092" max="3092" width="21" style="1" customWidth="1"/>
    <col min="3093" max="3095" width="0" style="1" hidden="1" customWidth="1"/>
    <col min="3096" max="3096" width="25.85546875" style="1" customWidth="1"/>
    <col min="3097" max="3099" width="0" style="1" hidden="1" customWidth="1"/>
    <col min="3100" max="3100" width="23" style="1" customWidth="1"/>
    <col min="3101" max="3329" width="9.140625" style="1"/>
    <col min="3330" max="3330" width="6.85546875" style="1" customWidth="1"/>
    <col min="3331" max="3331" width="13.140625" style="1" bestFit="1" customWidth="1"/>
    <col min="3332" max="3334" width="0" style="1" hidden="1" customWidth="1"/>
    <col min="3335" max="3335" width="26.85546875" style="1" customWidth="1"/>
    <col min="3336" max="3338" width="0" style="1" hidden="1" customWidth="1"/>
    <col min="3339" max="3339" width="28.7109375" style="1" customWidth="1"/>
    <col min="3340" max="3343" width="0" style="1" hidden="1" customWidth="1"/>
    <col min="3344" max="3344" width="25" style="1" customWidth="1"/>
    <col min="3345" max="3347" width="0" style="1" hidden="1" customWidth="1"/>
    <col min="3348" max="3348" width="21" style="1" customWidth="1"/>
    <col min="3349" max="3351" width="0" style="1" hidden="1" customWidth="1"/>
    <col min="3352" max="3352" width="25.85546875" style="1" customWidth="1"/>
    <col min="3353" max="3355" width="0" style="1" hidden="1" customWidth="1"/>
    <col min="3356" max="3356" width="23" style="1" customWidth="1"/>
    <col min="3357" max="3585" width="9.140625" style="1"/>
    <col min="3586" max="3586" width="6.85546875" style="1" customWidth="1"/>
    <col min="3587" max="3587" width="13.140625" style="1" bestFit="1" customWidth="1"/>
    <col min="3588" max="3590" width="0" style="1" hidden="1" customWidth="1"/>
    <col min="3591" max="3591" width="26.85546875" style="1" customWidth="1"/>
    <col min="3592" max="3594" width="0" style="1" hidden="1" customWidth="1"/>
    <col min="3595" max="3595" width="28.7109375" style="1" customWidth="1"/>
    <col min="3596" max="3599" width="0" style="1" hidden="1" customWidth="1"/>
    <col min="3600" max="3600" width="25" style="1" customWidth="1"/>
    <col min="3601" max="3603" width="0" style="1" hidden="1" customWidth="1"/>
    <col min="3604" max="3604" width="21" style="1" customWidth="1"/>
    <col min="3605" max="3607" width="0" style="1" hidden="1" customWidth="1"/>
    <col min="3608" max="3608" width="25.85546875" style="1" customWidth="1"/>
    <col min="3609" max="3611" width="0" style="1" hidden="1" customWidth="1"/>
    <col min="3612" max="3612" width="23" style="1" customWidth="1"/>
    <col min="3613" max="3841" width="9.140625" style="1"/>
    <col min="3842" max="3842" width="6.85546875" style="1" customWidth="1"/>
    <col min="3843" max="3843" width="13.140625" style="1" bestFit="1" customWidth="1"/>
    <col min="3844" max="3846" width="0" style="1" hidden="1" customWidth="1"/>
    <col min="3847" max="3847" width="26.85546875" style="1" customWidth="1"/>
    <col min="3848" max="3850" width="0" style="1" hidden="1" customWidth="1"/>
    <col min="3851" max="3851" width="28.7109375" style="1" customWidth="1"/>
    <col min="3852" max="3855" width="0" style="1" hidden="1" customWidth="1"/>
    <col min="3856" max="3856" width="25" style="1" customWidth="1"/>
    <col min="3857" max="3859" width="0" style="1" hidden="1" customWidth="1"/>
    <col min="3860" max="3860" width="21" style="1" customWidth="1"/>
    <col min="3861" max="3863" width="0" style="1" hidden="1" customWidth="1"/>
    <col min="3864" max="3864" width="25.85546875" style="1" customWidth="1"/>
    <col min="3865" max="3867" width="0" style="1" hidden="1" customWidth="1"/>
    <col min="3868" max="3868" width="23" style="1" customWidth="1"/>
    <col min="3869" max="4097" width="9.140625" style="1"/>
    <col min="4098" max="4098" width="6.85546875" style="1" customWidth="1"/>
    <col min="4099" max="4099" width="13.140625" style="1" bestFit="1" customWidth="1"/>
    <col min="4100" max="4102" width="0" style="1" hidden="1" customWidth="1"/>
    <col min="4103" max="4103" width="26.85546875" style="1" customWidth="1"/>
    <col min="4104" max="4106" width="0" style="1" hidden="1" customWidth="1"/>
    <col min="4107" max="4107" width="28.7109375" style="1" customWidth="1"/>
    <col min="4108" max="4111" width="0" style="1" hidden="1" customWidth="1"/>
    <col min="4112" max="4112" width="25" style="1" customWidth="1"/>
    <col min="4113" max="4115" width="0" style="1" hidden="1" customWidth="1"/>
    <col min="4116" max="4116" width="21" style="1" customWidth="1"/>
    <col min="4117" max="4119" width="0" style="1" hidden="1" customWidth="1"/>
    <col min="4120" max="4120" width="25.85546875" style="1" customWidth="1"/>
    <col min="4121" max="4123" width="0" style="1" hidden="1" customWidth="1"/>
    <col min="4124" max="4124" width="23" style="1" customWidth="1"/>
    <col min="4125" max="4353" width="9.140625" style="1"/>
    <col min="4354" max="4354" width="6.85546875" style="1" customWidth="1"/>
    <col min="4355" max="4355" width="13.140625" style="1" bestFit="1" customWidth="1"/>
    <col min="4356" max="4358" width="0" style="1" hidden="1" customWidth="1"/>
    <col min="4359" max="4359" width="26.85546875" style="1" customWidth="1"/>
    <col min="4360" max="4362" width="0" style="1" hidden="1" customWidth="1"/>
    <col min="4363" max="4363" width="28.7109375" style="1" customWidth="1"/>
    <col min="4364" max="4367" width="0" style="1" hidden="1" customWidth="1"/>
    <col min="4368" max="4368" width="25" style="1" customWidth="1"/>
    <col min="4369" max="4371" width="0" style="1" hidden="1" customWidth="1"/>
    <col min="4372" max="4372" width="21" style="1" customWidth="1"/>
    <col min="4373" max="4375" width="0" style="1" hidden="1" customWidth="1"/>
    <col min="4376" max="4376" width="25.85546875" style="1" customWidth="1"/>
    <col min="4377" max="4379" width="0" style="1" hidden="1" customWidth="1"/>
    <col min="4380" max="4380" width="23" style="1" customWidth="1"/>
    <col min="4381" max="4609" width="9.140625" style="1"/>
    <col min="4610" max="4610" width="6.85546875" style="1" customWidth="1"/>
    <col min="4611" max="4611" width="13.140625" style="1" bestFit="1" customWidth="1"/>
    <col min="4612" max="4614" width="0" style="1" hidden="1" customWidth="1"/>
    <col min="4615" max="4615" width="26.85546875" style="1" customWidth="1"/>
    <col min="4616" max="4618" width="0" style="1" hidden="1" customWidth="1"/>
    <col min="4619" max="4619" width="28.7109375" style="1" customWidth="1"/>
    <col min="4620" max="4623" width="0" style="1" hidden="1" customWidth="1"/>
    <col min="4624" max="4624" width="25" style="1" customWidth="1"/>
    <col min="4625" max="4627" width="0" style="1" hidden="1" customWidth="1"/>
    <col min="4628" max="4628" width="21" style="1" customWidth="1"/>
    <col min="4629" max="4631" width="0" style="1" hidden="1" customWidth="1"/>
    <col min="4632" max="4632" width="25.85546875" style="1" customWidth="1"/>
    <col min="4633" max="4635" width="0" style="1" hidden="1" customWidth="1"/>
    <col min="4636" max="4636" width="23" style="1" customWidth="1"/>
    <col min="4637" max="4865" width="9.140625" style="1"/>
    <col min="4866" max="4866" width="6.85546875" style="1" customWidth="1"/>
    <col min="4867" max="4867" width="13.140625" style="1" bestFit="1" customWidth="1"/>
    <col min="4868" max="4870" width="0" style="1" hidden="1" customWidth="1"/>
    <col min="4871" max="4871" width="26.85546875" style="1" customWidth="1"/>
    <col min="4872" max="4874" width="0" style="1" hidden="1" customWidth="1"/>
    <col min="4875" max="4875" width="28.7109375" style="1" customWidth="1"/>
    <col min="4876" max="4879" width="0" style="1" hidden="1" customWidth="1"/>
    <col min="4880" max="4880" width="25" style="1" customWidth="1"/>
    <col min="4881" max="4883" width="0" style="1" hidden="1" customWidth="1"/>
    <col min="4884" max="4884" width="21" style="1" customWidth="1"/>
    <col min="4885" max="4887" width="0" style="1" hidden="1" customWidth="1"/>
    <col min="4888" max="4888" width="25.85546875" style="1" customWidth="1"/>
    <col min="4889" max="4891" width="0" style="1" hidden="1" customWidth="1"/>
    <col min="4892" max="4892" width="23" style="1" customWidth="1"/>
    <col min="4893" max="5121" width="9.140625" style="1"/>
    <col min="5122" max="5122" width="6.85546875" style="1" customWidth="1"/>
    <col min="5123" max="5123" width="13.140625" style="1" bestFit="1" customWidth="1"/>
    <col min="5124" max="5126" width="0" style="1" hidden="1" customWidth="1"/>
    <col min="5127" max="5127" width="26.85546875" style="1" customWidth="1"/>
    <col min="5128" max="5130" width="0" style="1" hidden="1" customWidth="1"/>
    <col min="5131" max="5131" width="28.7109375" style="1" customWidth="1"/>
    <col min="5132" max="5135" width="0" style="1" hidden="1" customWidth="1"/>
    <col min="5136" max="5136" width="25" style="1" customWidth="1"/>
    <col min="5137" max="5139" width="0" style="1" hidden="1" customWidth="1"/>
    <col min="5140" max="5140" width="21" style="1" customWidth="1"/>
    <col min="5141" max="5143" width="0" style="1" hidden="1" customWidth="1"/>
    <col min="5144" max="5144" width="25.85546875" style="1" customWidth="1"/>
    <col min="5145" max="5147" width="0" style="1" hidden="1" customWidth="1"/>
    <col min="5148" max="5148" width="23" style="1" customWidth="1"/>
    <col min="5149" max="5377" width="9.140625" style="1"/>
    <col min="5378" max="5378" width="6.85546875" style="1" customWidth="1"/>
    <col min="5379" max="5379" width="13.140625" style="1" bestFit="1" customWidth="1"/>
    <col min="5380" max="5382" width="0" style="1" hidden="1" customWidth="1"/>
    <col min="5383" max="5383" width="26.85546875" style="1" customWidth="1"/>
    <col min="5384" max="5386" width="0" style="1" hidden="1" customWidth="1"/>
    <col min="5387" max="5387" width="28.7109375" style="1" customWidth="1"/>
    <col min="5388" max="5391" width="0" style="1" hidden="1" customWidth="1"/>
    <col min="5392" max="5392" width="25" style="1" customWidth="1"/>
    <col min="5393" max="5395" width="0" style="1" hidden="1" customWidth="1"/>
    <col min="5396" max="5396" width="21" style="1" customWidth="1"/>
    <col min="5397" max="5399" width="0" style="1" hidden="1" customWidth="1"/>
    <col min="5400" max="5400" width="25.85546875" style="1" customWidth="1"/>
    <col min="5401" max="5403" width="0" style="1" hidden="1" customWidth="1"/>
    <col min="5404" max="5404" width="23" style="1" customWidth="1"/>
    <col min="5405" max="5633" width="9.140625" style="1"/>
    <col min="5634" max="5634" width="6.85546875" style="1" customWidth="1"/>
    <col min="5635" max="5635" width="13.140625" style="1" bestFit="1" customWidth="1"/>
    <col min="5636" max="5638" width="0" style="1" hidden="1" customWidth="1"/>
    <col min="5639" max="5639" width="26.85546875" style="1" customWidth="1"/>
    <col min="5640" max="5642" width="0" style="1" hidden="1" customWidth="1"/>
    <col min="5643" max="5643" width="28.7109375" style="1" customWidth="1"/>
    <col min="5644" max="5647" width="0" style="1" hidden="1" customWidth="1"/>
    <col min="5648" max="5648" width="25" style="1" customWidth="1"/>
    <col min="5649" max="5651" width="0" style="1" hidden="1" customWidth="1"/>
    <col min="5652" max="5652" width="21" style="1" customWidth="1"/>
    <col min="5653" max="5655" width="0" style="1" hidden="1" customWidth="1"/>
    <col min="5656" max="5656" width="25.85546875" style="1" customWidth="1"/>
    <col min="5657" max="5659" width="0" style="1" hidden="1" customWidth="1"/>
    <col min="5660" max="5660" width="23" style="1" customWidth="1"/>
    <col min="5661" max="5889" width="9.140625" style="1"/>
    <col min="5890" max="5890" width="6.85546875" style="1" customWidth="1"/>
    <col min="5891" max="5891" width="13.140625" style="1" bestFit="1" customWidth="1"/>
    <col min="5892" max="5894" width="0" style="1" hidden="1" customWidth="1"/>
    <col min="5895" max="5895" width="26.85546875" style="1" customWidth="1"/>
    <col min="5896" max="5898" width="0" style="1" hidden="1" customWidth="1"/>
    <col min="5899" max="5899" width="28.7109375" style="1" customWidth="1"/>
    <col min="5900" max="5903" width="0" style="1" hidden="1" customWidth="1"/>
    <col min="5904" max="5904" width="25" style="1" customWidth="1"/>
    <col min="5905" max="5907" width="0" style="1" hidden="1" customWidth="1"/>
    <col min="5908" max="5908" width="21" style="1" customWidth="1"/>
    <col min="5909" max="5911" width="0" style="1" hidden="1" customWidth="1"/>
    <col min="5912" max="5912" width="25.85546875" style="1" customWidth="1"/>
    <col min="5913" max="5915" width="0" style="1" hidden="1" customWidth="1"/>
    <col min="5916" max="5916" width="23" style="1" customWidth="1"/>
    <col min="5917" max="6145" width="9.140625" style="1"/>
    <col min="6146" max="6146" width="6.85546875" style="1" customWidth="1"/>
    <col min="6147" max="6147" width="13.140625" style="1" bestFit="1" customWidth="1"/>
    <col min="6148" max="6150" width="0" style="1" hidden="1" customWidth="1"/>
    <col min="6151" max="6151" width="26.85546875" style="1" customWidth="1"/>
    <col min="6152" max="6154" width="0" style="1" hidden="1" customWidth="1"/>
    <col min="6155" max="6155" width="28.7109375" style="1" customWidth="1"/>
    <col min="6156" max="6159" width="0" style="1" hidden="1" customWidth="1"/>
    <col min="6160" max="6160" width="25" style="1" customWidth="1"/>
    <col min="6161" max="6163" width="0" style="1" hidden="1" customWidth="1"/>
    <col min="6164" max="6164" width="21" style="1" customWidth="1"/>
    <col min="6165" max="6167" width="0" style="1" hidden="1" customWidth="1"/>
    <col min="6168" max="6168" width="25.85546875" style="1" customWidth="1"/>
    <col min="6169" max="6171" width="0" style="1" hidden="1" customWidth="1"/>
    <col min="6172" max="6172" width="23" style="1" customWidth="1"/>
    <col min="6173" max="6401" width="9.140625" style="1"/>
    <col min="6402" max="6402" width="6.85546875" style="1" customWidth="1"/>
    <col min="6403" max="6403" width="13.140625" style="1" bestFit="1" customWidth="1"/>
    <col min="6404" max="6406" width="0" style="1" hidden="1" customWidth="1"/>
    <col min="6407" max="6407" width="26.85546875" style="1" customWidth="1"/>
    <col min="6408" max="6410" width="0" style="1" hidden="1" customWidth="1"/>
    <col min="6411" max="6411" width="28.7109375" style="1" customWidth="1"/>
    <col min="6412" max="6415" width="0" style="1" hidden="1" customWidth="1"/>
    <col min="6416" max="6416" width="25" style="1" customWidth="1"/>
    <col min="6417" max="6419" width="0" style="1" hidden="1" customWidth="1"/>
    <col min="6420" max="6420" width="21" style="1" customWidth="1"/>
    <col min="6421" max="6423" width="0" style="1" hidden="1" customWidth="1"/>
    <col min="6424" max="6424" width="25.85546875" style="1" customWidth="1"/>
    <col min="6425" max="6427" width="0" style="1" hidden="1" customWidth="1"/>
    <col min="6428" max="6428" width="23" style="1" customWidth="1"/>
    <col min="6429" max="6657" width="9.140625" style="1"/>
    <col min="6658" max="6658" width="6.85546875" style="1" customWidth="1"/>
    <col min="6659" max="6659" width="13.140625" style="1" bestFit="1" customWidth="1"/>
    <col min="6660" max="6662" width="0" style="1" hidden="1" customWidth="1"/>
    <col min="6663" max="6663" width="26.85546875" style="1" customWidth="1"/>
    <col min="6664" max="6666" width="0" style="1" hidden="1" customWidth="1"/>
    <col min="6667" max="6667" width="28.7109375" style="1" customWidth="1"/>
    <col min="6668" max="6671" width="0" style="1" hidden="1" customWidth="1"/>
    <col min="6672" max="6672" width="25" style="1" customWidth="1"/>
    <col min="6673" max="6675" width="0" style="1" hidden="1" customWidth="1"/>
    <col min="6676" max="6676" width="21" style="1" customWidth="1"/>
    <col min="6677" max="6679" width="0" style="1" hidden="1" customWidth="1"/>
    <col min="6680" max="6680" width="25.85546875" style="1" customWidth="1"/>
    <col min="6681" max="6683" width="0" style="1" hidden="1" customWidth="1"/>
    <col min="6684" max="6684" width="23" style="1" customWidth="1"/>
    <col min="6685" max="6913" width="9.140625" style="1"/>
    <col min="6914" max="6914" width="6.85546875" style="1" customWidth="1"/>
    <col min="6915" max="6915" width="13.140625" style="1" bestFit="1" customWidth="1"/>
    <col min="6916" max="6918" width="0" style="1" hidden="1" customWidth="1"/>
    <col min="6919" max="6919" width="26.85546875" style="1" customWidth="1"/>
    <col min="6920" max="6922" width="0" style="1" hidden="1" customWidth="1"/>
    <col min="6923" max="6923" width="28.7109375" style="1" customWidth="1"/>
    <col min="6924" max="6927" width="0" style="1" hidden="1" customWidth="1"/>
    <col min="6928" max="6928" width="25" style="1" customWidth="1"/>
    <col min="6929" max="6931" width="0" style="1" hidden="1" customWidth="1"/>
    <col min="6932" max="6932" width="21" style="1" customWidth="1"/>
    <col min="6933" max="6935" width="0" style="1" hidden="1" customWidth="1"/>
    <col min="6936" max="6936" width="25.85546875" style="1" customWidth="1"/>
    <col min="6937" max="6939" width="0" style="1" hidden="1" customWidth="1"/>
    <col min="6940" max="6940" width="23" style="1" customWidth="1"/>
    <col min="6941" max="7169" width="9.140625" style="1"/>
    <col min="7170" max="7170" width="6.85546875" style="1" customWidth="1"/>
    <col min="7171" max="7171" width="13.140625" style="1" bestFit="1" customWidth="1"/>
    <col min="7172" max="7174" width="0" style="1" hidden="1" customWidth="1"/>
    <col min="7175" max="7175" width="26.85546875" style="1" customWidth="1"/>
    <col min="7176" max="7178" width="0" style="1" hidden="1" customWidth="1"/>
    <col min="7179" max="7179" width="28.7109375" style="1" customWidth="1"/>
    <col min="7180" max="7183" width="0" style="1" hidden="1" customWidth="1"/>
    <col min="7184" max="7184" width="25" style="1" customWidth="1"/>
    <col min="7185" max="7187" width="0" style="1" hidden="1" customWidth="1"/>
    <col min="7188" max="7188" width="21" style="1" customWidth="1"/>
    <col min="7189" max="7191" width="0" style="1" hidden="1" customWidth="1"/>
    <col min="7192" max="7192" width="25.85546875" style="1" customWidth="1"/>
    <col min="7193" max="7195" width="0" style="1" hidden="1" customWidth="1"/>
    <col min="7196" max="7196" width="23" style="1" customWidth="1"/>
    <col min="7197" max="7425" width="9.140625" style="1"/>
    <col min="7426" max="7426" width="6.85546875" style="1" customWidth="1"/>
    <col min="7427" max="7427" width="13.140625" style="1" bestFit="1" customWidth="1"/>
    <col min="7428" max="7430" width="0" style="1" hidden="1" customWidth="1"/>
    <col min="7431" max="7431" width="26.85546875" style="1" customWidth="1"/>
    <col min="7432" max="7434" width="0" style="1" hidden="1" customWidth="1"/>
    <col min="7435" max="7435" width="28.7109375" style="1" customWidth="1"/>
    <col min="7436" max="7439" width="0" style="1" hidden="1" customWidth="1"/>
    <col min="7440" max="7440" width="25" style="1" customWidth="1"/>
    <col min="7441" max="7443" width="0" style="1" hidden="1" customWidth="1"/>
    <col min="7444" max="7444" width="21" style="1" customWidth="1"/>
    <col min="7445" max="7447" width="0" style="1" hidden="1" customWidth="1"/>
    <col min="7448" max="7448" width="25.85546875" style="1" customWidth="1"/>
    <col min="7449" max="7451" width="0" style="1" hidden="1" customWidth="1"/>
    <col min="7452" max="7452" width="23" style="1" customWidth="1"/>
    <col min="7453" max="7681" width="9.140625" style="1"/>
    <col min="7682" max="7682" width="6.85546875" style="1" customWidth="1"/>
    <col min="7683" max="7683" width="13.140625" style="1" bestFit="1" customWidth="1"/>
    <col min="7684" max="7686" width="0" style="1" hidden="1" customWidth="1"/>
    <col min="7687" max="7687" width="26.85546875" style="1" customWidth="1"/>
    <col min="7688" max="7690" width="0" style="1" hidden="1" customWidth="1"/>
    <col min="7691" max="7691" width="28.7109375" style="1" customWidth="1"/>
    <col min="7692" max="7695" width="0" style="1" hidden="1" customWidth="1"/>
    <col min="7696" max="7696" width="25" style="1" customWidth="1"/>
    <col min="7697" max="7699" width="0" style="1" hidden="1" customWidth="1"/>
    <col min="7700" max="7700" width="21" style="1" customWidth="1"/>
    <col min="7701" max="7703" width="0" style="1" hidden="1" customWidth="1"/>
    <col min="7704" max="7704" width="25.85546875" style="1" customWidth="1"/>
    <col min="7705" max="7707" width="0" style="1" hidden="1" customWidth="1"/>
    <col min="7708" max="7708" width="23" style="1" customWidth="1"/>
    <col min="7709" max="7937" width="9.140625" style="1"/>
    <col min="7938" max="7938" width="6.85546875" style="1" customWidth="1"/>
    <col min="7939" max="7939" width="13.140625" style="1" bestFit="1" customWidth="1"/>
    <col min="7940" max="7942" width="0" style="1" hidden="1" customWidth="1"/>
    <col min="7943" max="7943" width="26.85546875" style="1" customWidth="1"/>
    <col min="7944" max="7946" width="0" style="1" hidden="1" customWidth="1"/>
    <col min="7947" max="7947" width="28.7109375" style="1" customWidth="1"/>
    <col min="7948" max="7951" width="0" style="1" hidden="1" customWidth="1"/>
    <col min="7952" max="7952" width="25" style="1" customWidth="1"/>
    <col min="7953" max="7955" width="0" style="1" hidden="1" customWidth="1"/>
    <col min="7956" max="7956" width="21" style="1" customWidth="1"/>
    <col min="7957" max="7959" width="0" style="1" hidden="1" customWidth="1"/>
    <col min="7960" max="7960" width="25.85546875" style="1" customWidth="1"/>
    <col min="7961" max="7963" width="0" style="1" hidden="1" customWidth="1"/>
    <col min="7964" max="7964" width="23" style="1" customWidth="1"/>
    <col min="7965" max="8193" width="9.140625" style="1"/>
    <col min="8194" max="8194" width="6.85546875" style="1" customWidth="1"/>
    <col min="8195" max="8195" width="13.140625" style="1" bestFit="1" customWidth="1"/>
    <col min="8196" max="8198" width="0" style="1" hidden="1" customWidth="1"/>
    <col min="8199" max="8199" width="26.85546875" style="1" customWidth="1"/>
    <col min="8200" max="8202" width="0" style="1" hidden="1" customWidth="1"/>
    <col min="8203" max="8203" width="28.7109375" style="1" customWidth="1"/>
    <col min="8204" max="8207" width="0" style="1" hidden="1" customWidth="1"/>
    <col min="8208" max="8208" width="25" style="1" customWidth="1"/>
    <col min="8209" max="8211" width="0" style="1" hidden="1" customWidth="1"/>
    <col min="8212" max="8212" width="21" style="1" customWidth="1"/>
    <col min="8213" max="8215" width="0" style="1" hidden="1" customWidth="1"/>
    <col min="8216" max="8216" width="25.85546875" style="1" customWidth="1"/>
    <col min="8217" max="8219" width="0" style="1" hidden="1" customWidth="1"/>
    <col min="8220" max="8220" width="23" style="1" customWidth="1"/>
    <col min="8221" max="8449" width="9.140625" style="1"/>
    <col min="8450" max="8450" width="6.85546875" style="1" customWidth="1"/>
    <col min="8451" max="8451" width="13.140625" style="1" bestFit="1" customWidth="1"/>
    <col min="8452" max="8454" width="0" style="1" hidden="1" customWidth="1"/>
    <col min="8455" max="8455" width="26.85546875" style="1" customWidth="1"/>
    <col min="8456" max="8458" width="0" style="1" hidden="1" customWidth="1"/>
    <col min="8459" max="8459" width="28.7109375" style="1" customWidth="1"/>
    <col min="8460" max="8463" width="0" style="1" hidden="1" customWidth="1"/>
    <col min="8464" max="8464" width="25" style="1" customWidth="1"/>
    <col min="8465" max="8467" width="0" style="1" hidden="1" customWidth="1"/>
    <col min="8468" max="8468" width="21" style="1" customWidth="1"/>
    <col min="8469" max="8471" width="0" style="1" hidden="1" customWidth="1"/>
    <col min="8472" max="8472" width="25.85546875" style="1" customWidth="1"/>
    <col min="8473" max="8475" width="0" style="1" hidden="1" customWidth="1"/>
    <col min="8476" max="8476" width="23" style="1" customWidth="1"/>
    <col min="8477" max="8705" width="9.140625" style="1"/>
    <col min="8706" max="8706" width="6.85546875" style="1" customWidth="1"/>
    <col min="8707" max="8707" width="13.140625" style="1" bestFit="1" customWidth="1"/>
    <col min="8708" max="8710" width="0" style="1" hidden="1" customWidth="1"/>
    <col min="8711" max="8711" width="26.85546875" style="1" customWidth="1"/>
    <col min="8712" max="8714" width="0" style="1" hidden="1" customWidth="1"/>
    <col min="8715" max="8715" width="28.7109375" style="1" customWidth="1"/>
    <col min="8716" max="8719" width="0" style="1" hidden="1" customWidth="1"/>
    <col min="8720" max="8720" width="25" style="1" customWidth="1"/>
    <col min="8721" max="8723" width="0" style="1" hidden="1" customWidth="1"/>
    <col min="8724" max="8724" width="21" style="1" customWidth="1"/>
    <col min="8725" max="8727" width="0" style="1" hidden="1" customWidth="1"/>
    <col min="8728" max="8728" width="25.85546875" style="1" customWidth="1"/>
    <col min="8729" max="8731" width="0" style="1" hidden="1" customWidth="1"/>
    <col min="8732" max="8732" width="23" style="1" customWidth="1"/>
    <col min="8733" max="8961" width="9.140625" style="1"/>
    <col min="8962" max="8962" width="6.85546875" style="1" customWidth="1"/>
    <col min="8963" max="8963" width="13.140625" style="1" bestFit="1" customWidth="1"/>
    <col min="8964" max="8966" width="0" style="1" hidden="1" customWidth="1"/>
    <col min="8967" max="8967" width="26.85546875" style="1" customWidth="1"/>
    <col min="8968" max="8970" width="0" style="1" hidden="1" customWidth="1"/>
    <col min="8971" max="8971" width="28.7109375" style="1" customWidth="1"/>
    <col min="8972" max="8975" width="0" style="1" hidden="1" customWidth="1"/>
    <col min="8976" max="8976" width="25" style="1" customWidth="1"/>
    <col min="8977" max="8979" width="0" style="1" hidden="1" customWidth="1"/>
    <col min="8980" max="8980" width="21" style="1" customWidth="1"/>
    <col min="8981" max="8983" width="0" style="1" hidden="1" customWidth="1"/>
    <col min="8984" max="8984" width="25.85546875" style="1" customWidth="1"/>
    <col min="8985" max="8987" width="0" style="1" hidden="1" customWidth="1"/>
    <col min="8988" max="8988" width="23" style="1" customWidth="1"/>
    <col min="8989" max="9217" width="9.140625" style="1"/>
    <col min="9218" max="9218" width="6.85546875" style="1" customWidth="1"/>
    <col min="9219" max="9219" width="13.140625" style="1" bestFit="1" customWidth="1"/>
    <col min="9220" max="9222" width="0" style="1" hidden="1" customWidth="1"/>
    <col min="9223" max="9223" width="26.85546875" style="1" customWidth="1"/>
    <col min="9224" max="9226" width="0" style="1" hidden="1" customWidth="1"/>
    <col min="9227" max="9227" width="28.7109375" style="1" customWidth="1"/>
    <col min="9228" max="9231" width="0" style="1" hidden="1" customWidth="1"/>
    <col min="9232" max="9232" width="25" style="1" customWidth="1"/>
    <col min="9233" max="9235" width="0" style="1" hidden="1" customWidth="1"/>
    <col min="9236" max="9236" width="21" style="1" customWidth="1"/>
    <col min="9237" max="9239" width="0" style="1" hidden="1" customWidth="1"/>
    <col min="9240" max="9240" width="25.85546875" style="1" customWidth="1"/>
    <col min="9241" max="9243" width="0" style="1" hidden="1" customWidth="1"/>
    <col min="9244" max="9244" width="23" style="1" customWidth="1"/>
    <col min="9245" max="9473" width="9.140625" style="1"/>
    <col min="9474" max="9474" width="6.85546875" style="1" customWidth="1"/>
    <col min="9475" max="9475" width="13.140625" style="1" bestFit="1" customWidth="1"/>
    <col min="9476" max="9478" width="0" style="1" hidden="1" customWidth="1"/>
    <col min="9479" max="9479" width="26.85546875" style="1" customWidth="1"/>
    <col min="9480" max="9482" width="0" style="1" hidden="1" customWidth="1"/>
    <col min="9483" max="9483" width="28.7109375" style="1" customWidth="1"/>
    <col min="9484" max="9487" width="0" style="1" hidden="1" customWidth="1"/>
    <col min="9488" max="9488" width="25" style="1" customWidth="1"/>
    <col min="9489" max="9491" width="0" style="1" hidden="1" customWidth="1"/>
    <col min="9492" max="9492" width="21" style="1" customWidth="1"/>
    <col min="9493" max="9495" width="0" style="1" hidden="1" customWidth="1"/>
    <col min="9496" max="9496" width="25.85546875" style="1" customWidth="1"/>
    <col min="9497" max="9499" width="0" style="1" hidden="1" customWidth="1"/>
    <col min="9500" max="9500" width="23" style="1" customWidth="1"/>
    <col min="9501" max="9729" width="9.140625" style="1"/>
    <col min="9730" max="9730" width="6.85546875" style="1" customWidth="1"/>
    <col min="9731" max="9731" width="13.140625" style="1" bestFit="1" customWidth="1"/>
    <col min="9732" max="9734" width="0" style="1" hidden="1" customWidth="1"/>
    <col min="9735" max="9735" width="26.85546875" style="1" customWidth="1"/>
    <col min="9736" max="9738" width="0" style="1" hidden="1" customWidth="1"/>
    <col min="9739" max="9739" width="28.7109375" style="1" customWidth="1"/>
    <col min="9740" max="9743" width="0" style="1" hidden="1" customWidth="1"/>
    <col min="9744" max="9744" width="25" style="1" customWidth="1"/>
    <col min="9745" max="9747" width="0" style="1" hidden="1" customWidth="1"/>
    <col min="9748" max="9748" width="21" style="1" customWidth="1"/>
    <col min="9749" max="9751" width="0" style="1" hidden="1" customWidth="1"/>
    <col min="9752" max="9752" width="25.85546875" style="1" customWidth="1"/>
    <col min="9753" max="9755" width="0" style="1" hidden="1" customWidth="1"/>
    <col min="9756" max="9756" width="23" style="1" customWidth="1"/>
    <col min="9757" max="9985" width="9.140625" style="1"/>
    <col min="9986" max="9986" width="6.85546875" style="1" customWidth="1"/>
    <col min="9987" max="9987" width="13.140625" style="1" bestFit="1" customWidth="1"/>
    <col min="9988" max="9990" width="0" style="1" hidden="1" customWidth="1"/>
    <col min="9991" max="9991" width="26.85546875" style="1" customWidth="1"/>
    <col min="9992" max="9994" width="0" style="1" hidden="1" customWidth="1"/>
    <col min="9995" max="9995" width="28.7109375" style="1" customWidth="1"/>
    <col min="9996" max="9999" width="0" style="1" hidden="1" customWidth="1"/>
    <col min="10000" max="10000" width="25" style="1" customWidth="1"/>
    <col min="10001" max="10003" width="0" style="1" hidden="1" customWidth="1"/>
    <col min="10004" max="10004" width="21" style="1" customWidth="1"/>
    <col min="10005" max="10007" width="0" style="1" hidden="1" customWidth="1"/>
    <col min="10008" max="10008" width="25.85546875" style="1" customWidth="1"/>
    <col min="10009" max="10011" width="0" style="1" hidden="1" customWidth="1"/>
    <col min="10012" max="10012" width="23" style="1" customWidth="1"/>
    <col min="10013" max="10241" width="9.140625" style="1"/>
    <col min="10242" max="10242" width="6.85546875" style="1" customWidth="1"/>
    <col min="10243" max="10243" width="13.140625" style="1" bestFit="1" customWidth="1"/>
    <col min="10244" max="10246" width="0" style="1" hidden="1" customWidth="1"/>
    <col min="10247" max="10247" width="26.85546875" style="1" customWidth="1"/>
    <col min="10248" max="10250" width="0" style="1" hidden="1" customWidth="1"/>
    <col min="10251" max="10251" width="28.7109375" style="1" customWidth="1"/>
    <col min="10252" max="10255" width="0" style="1" hidden="1" customWidth="1"/>
    <col min="10256" max="10256" width="25" style="1" customWidth="1"/>
    <col min="10257" max="10259" width="0" style="1" hidden="1" customWidth="1"/>
    <col min="10260" max="10260" width="21" style="1" customWidth="1"/>
    <col min="10261" max="10263" width="0" style="1" hidden="1" customWidth="1"/>
    <col min="10264" max="10264" width="25.85546875" style="1" customWidth="1"/>
    <col min="10265" max="10267" width="0" style="1" hidden="1" customWidth="1"/>
    <col min="10268" max="10268" width="23" style="1" customWidth="1"/>
    <col min="10269" max="10497" width="9.140625" style="1"/>
    <col min="10498" max="10498" width="6.85546875" style="1" customWidth="1"/>
    <col min="10499" max="10499" width="13.140625" style="1" bestFit="1" customWidth="1"/>
    <col min="10500" max="10502" width="0" style="1" hidden="1" customWidth="1"/>
    <col min="10503" max="10503" width="26.85546875" style="1" customWidth="1"/>
    <col min="10504" max="10506" width="0" style="1" hidden="1" customWidth="1"/>
    <col min="10507" max="10507" width="28.7109375" style="1" customWidth="1"/>
    <col min="10508" max="10511" width="0" style="1" hidden="1" customWidth="1"/>
    <col min="10512" max="10512" width="25" style="1" customWidth="1"/>
    <col min="10513" max="10515" width="0" style="1" hidden="1" customWidth="1"/>
    <col min="10516" max="10516" width="21" style="1" customWidth="1"/>
    <col min="10517" max="10519" width="0" style="1" hidden="1" customWidth="1"/>
    <col min="10520" max="10520" width="25.85546875" style="1" customWidth="1"/>
    <col min="10521" max="10523" width="0" style="1" hidden="1" customWidth="1"/>
    <col min="10524" max="10524" width="23" style="1" customWidth="1"/>
    <col min="10525" max="10753" width="9.140625" style="1"/>
    <col min="10754" max="10754" width="6.85546875" style="1" customWidth="1"/>
    <col min="10755" max="10755" width="13.140625" style="1" bestFit="1" customWidth="1"/>
    <col min="10756" max="10758" width="0" style="1" hidden="1" customWidth="1"/>
    <col min="10759" max="10759" width="26.85546875" style="1" customWidth="1"/>
    <col min="10760" max="10762" width="0" style="1" hidden="1" customWidth="1"/>
    <col min="10763" max="10763" width="28.7109375" style="1" customWidth="1"/>
    <col min="10764" max="10767" width="0" style="1" hidden="1" customWidth="1"/>
    <col min="10768" max="10768" width="25" style="1" customWidth="1"/>
    <col min="10769" max="10771" width="0" style="1" hidden="1" customWidth="1"/>
    <col min="10772" max="10772" width="21" style="1" customWidth="1"/>
    <col min="10773" max="10775" width="0" style="1" hidden="1" customWidth="1"/>
    <col min="10776" max="10776" width="25.85546875" style="1" customWidth="1"/>
    <col min="10777" max="10779" width="0" style="1" hidden="1" customWidth="1"/>
    <col min="10780" max="10780" width="23" style="1" customWidth="1"/>
    <col min="10781" max="11009" width="9.140625" style="1"/>
    <col min="11010" max="11010" width="6.85546875" style="1" customWidth="1"/>
    <col min="11011" max="11011" width="13.140625" style="1" bestFit="1" customWidth="1"/>
    <col min="11012" max="11014" width="0" style="1" hidden="1" customWidth="1"/>
    <col min="11015" max="11015" width="26.85546875" style="1" customWidth="1"/>
    <col min="11016" max="11018" width="0" style="1" hidden="1" customWidth="1"/>
    <col min="11019" max="11019" width="28.7109375" style="1" customWidth="1"/>
    <col min="11020" max="11023" width="0" style="1" hidden="1" customWidth="1"/>
    <col min="11024" max="11024" width="25" style="1" customWidth="1"/>
    <col min="11025" max="11027" width="0" style="1" hidden="1" customWidth="1"/>
    <col min="11028" max="11028" width="21" style="1" customWidth="1"/>
    <col min="11029" max="11031" width="0" style="1" hidden="1" customWidth="1"/>
    <col min="11032" max="11032" width="25.85546875" style="1" customWidth="1"/>
    <col min="11033" max="11035" width="0" style="1" hidden="1" customWidth="1"/>
    <col min="11036" max="11036" width="23" style="1" customWidth="1"/>
    <col min="11037" max="11265" width="9.140625" style="1"/>
    <col min="11266" max="11266" width="6.85546875" style="1" customWidth="1"/>
    <col min="11267" max="11267" width="13.140625" style="1" bestFit="1" customWidth="1"/>
    <col min="11268" max="11270" width="0" style="1" hidden="1" customWidth="1"/>
    <col min="11271" max="11271" width="26.85546875" style="1" customWidth="1"/>
    <col min="11272" max="11274" width="0" style="1" hidden="1" customWidth="1"/>
    <col min="11275" max="11275" width="28.7109375" style="1" customWidth="1"/>
    <col min="11276" max="11279" width="0" style="1" hidden="1" customWidth="1"/>
    <col min="11280" max="11280" width="25" style="1" customWidth="1"/>
    <col min="11281" max="11283" width="0" style="1" hidden="1" customWidth="1"/>
    <col min="11284" max="11284" width="21" style="1" customWidth="1"/>
    <col min="11285" max="11287" width="0" style="1" hidden="1" customWidth="1"/>
    <col min="11288" max="11288" width="25.85546875" style="1" customWidth="1"/>
    <col min="11289" max="11291" width="0" style="1" hidden="1" customWidth="1"/>
    <col min="11292" max="11292" width="23" style="1" customWidth="1"/>
    <col min="11293" max="11521" width="9.140625" style="1"/>
    <col min="11522" max="11522" width="6.85546875" style="1" customWidth="1"/>
    <col min="11523" max="11523" width="13.140625" style="1" bestFit="1" customWidth="1"/>
    <col min="11524" max="11526" width="0" style="1" hidden="1" customWidth="1"/>
    <col min="11527" max="11527" width="26.85546875" style="1" customWidth="1"/>
    <col min="11528" max="11530" width="0" style="1" hidden="1" customWidth="1"/>
    <col min="11531" max="11531" width="28.7109375" style="1" customWidth="1"/>
    <col min="11532" max="11535" width="0" style="1" hidden="1" customWidth="1"/>
    <col min="11536" max="11536" width="25" style="1" customWidth="1"/>
    <col min="11537" max="11539" width="0" style="1" hidden="1" customWidth="1"/>
    <col min="11540" max="11540" width="21" style="1" customWidth="1"/>
    <col min="11541" max="11543" width="0" style="1" hidden="1" customWidth="1"/>
    <col min="11544" max="11544" width="25.85546875" style="1" customWidth="1"/>
    <col min="11545" max="11547" width="0" style="1" hidden="1" customWidth="1"/>
    <col min="11548" max="11548" width="23" style="1" customWidth="1"/>
    <col min="11549" max="11777" width="9.140625" style="1"/>
    <col min="11778" max="11778" width="6.85546875" style="1" customWidth="1"/>
    <col min="11779" max="11779" width="13.140625" style="1" bestFit="1" customWidth="1"/>
    <col min="11780" max="11782" width="0" style="1" hidden="1" customWidth="1"/>
    <col min="11783" max="11783" width="26.85546875" style="1" customWidth="1"/>
    <col min="11784" max="11786" width="0" style="1" hidden="1" customWidth="1"/>
    <col min="11787" max="11787" width="28.7109375" style="1" customWidth="1"/>
    <col min="11788" max="11791" width="0" style="1" hidden="1" customWidth="1"/>
    <col min="11792" max="11792" width="25" style="1" customWidth="1"/>
    <col min="11793" max="11795" width="0" style="1" hidden="1" customWidth="1"/>
    <col min="11796" max="11796" width="21" style="1" customWidth="1"/>
    <col min="11797" max="11799" width="0" style="1" hidden="1" customWidth="1"/>
    <col min="11800" max="11800" width="25.85546875" style="1" customWidth="1"/>
    <col min="11801" max="11803" width="0" style="1" hidden="1" customWidth="1"/>
    <col min="11804" max="11804" width="23" style="1" customWidth="1"/>
    <col min="11805" max="12033" width="9.140625" style="1"/>
    <col min="12034" max="12034" width="6.85546875" style="1" customWidth="1"/>
    <col min="12035" max="12035" width="13.140625" style="1" bestFit="1" customWidth="1"/>
    <col min="12036" max="12038" width="0" style="1" hidden="1" customWidth="1"/>
    <col min="12039" max="12039" width="26.85546875" style="1" customWidth="1"/>
    <col min="12040" max="12042" width="0" style="1" hidden="1" customWidth="1"/>
    <col min="12043" max="12043" width="28.7109375" style="1" customWidth="1"/>
    <col min="12044" max="12047" width="0" style="1" hidden="1" customWidth="1"/>
    <col min="12048" max="12048" width="25" style="1" customWidth="1"/>
    <col min="12049" max="12051" width="0" style="1" hidden="1" customWidth="1"/>
    <col min="12052" max="12052" width="21" style="1" customWidth="1"/>
    <col min="12053" max="12055" width="0" style="1" hidden="1" customWidth="1"/>
    <col min="12056" max="12056" width="25.85546875" style="1" customWidth="1"/>
    <col min="12057" max="12059" width="0" style="1" hidden="1" customWidth="1"/>
    <col min="12060" max="12060" width="23" style="1" customWidth="1"/>
    <col min="12061" max="12289" width="9.140625" style="1"/>
    <col min="12290" max="12290" width="6.85546875" style="1" customWidth="1"/>
    <col min="12291" max="12291" width="13.140625" style="1" bestFit="1" customWidth="1"/>
    <col min="12292" max="12294" width="0" style="1" hidden="1" customWidth="1"/>
    <col min="12295" max="12295" width="26.85546875" style="1" customWidth="1"/>
    <col min="12296" max="12298" width="0" style="1" hidden="1" customWidth="1"/>
    <col min="12299" max="12299" width="28.7109375" style="1" customWidth="1"/>
    <col min="12300" max="12303" width="0" style="1" hidden="1" customWidth="1"/>
    <col min="12304" max="12304" width="25" style="1" customWidth="1"/>
    <col min="12305" max="12307" width="0" style="1" hidden="1" customWidth="1"/>
    <col min="12308" max="12308" width="21" style="1" customWidth="1"/>
    <col min="12309" max="12311" width="0" style="1" hidden="1" customWidth="1"/>
    <col min="12312" max="12312" width="25.85546875" style="1" customWidth="1"/>
    <col min="12313" max="12315" width="0" style="1" hidden="1" customWidth="1"/>
    <col min="12316" max="12316" width="23" style="1" customWidth="1"/>
    <col min="12317" max="12545" width="9.140625" style="1"/>
    <col min="12546" max="12546" width="6.85546875" style="1" customWidth="1"/>
    <col min="12547" max="12547" width="13.140625" style="1" bestFit="1" customWidth="1"/>
    <col min="12548" max="12550" width="0" style="1" hidden="1" customWidth="1"/>
    <col min="12551" max="12551" width="26.85546875" style="1" customWidth="1"/>
    <col min="12552" max="12554" width="0" style="1" hidden="1" customWidth="1"/>
    <col min="12555" max="12555" width="28.7109375" style="1" customWidth="1"/>
    <col min="12556" max="12559" width="0" style="1" hidden="1" customWidth="1"/>
    <col min="12560" max="12560" width="25" style="1" customWidth="1"/>
    <col min="12561" max="12563" width="0" style="1" hidden="1" customWidth="1"/>
    <col min="12564" max="12564" width="21" style="1" customWidth="1"/>
    <col min="12565" max="12567" width="0" style="1" hidden="1" customWidth="1"/>
    <col min="12568" max="12568" width="25.85546875" style="1" customWidth="1"/>
    <col min="12569" max="12571" width="0" style="1" hidden="1" customWidth="1"/>
    <col min="12572" max="12572" width="23" style="1" customWidth="1"/>
    <col min="12573" max="12801" width="9.140625" style="1"/>
    <col min="12802" max="12802" width="6.85546875" style="1" customWidth="1"/>
    <col min="12803" max="12803" width="13.140625" style="1" bestFit="1" customWidth="1"/>
    <col min="12804" max="12806" width="0" style="1" hidden="1" customWidth="1"/>
    <col min="12807" max="12807" width="26.85546875" style="1" customWidth="1"/>
    <col min="12808" max="12810" width="0" style="1" hidden="1" customWidth="1"/>
    <col min="12811" max="12811" width="28.7109375" style="1" customWidth="1"/>
    <col min="12812" max="12815" width="0" style="1" hidden="1" customWidth="1"/>
    <col min="12816" max="12816" width="25" style="1" customWidth="1"/>
    <col min="12817" max="12819" width="0" style="1" hidden="1" customWidth="1"/>
    <col min="12820" max="12820" width="21" style="1" customWidth="1"/>
    <col min="12821" max="12823" width="0" style="1" hidden="1" customWidth="1"/>
    <col min="12824" max="12824" width="25.85546875" style="1" customWidth="1"/>
    <col min="12825" max="12827" width="0" style="1" hidden="1" customWidth="1"/>
    <col min="12828" max="12828" width="23" style="1" customWidth="1"/>
    <col min="12829" max="13057" width="9.140625" style="1"/>
    <col min="13058" max="13058" width="6.85546875" style="1" customWidth="1"/>
    <col min="13059" max="13059" width="13.140625" style="1" bestFit="1" customWidth="1"/>
    <col min="13060" max="13062" width="0" style="1" hidden="1" customWidth="1"/>
    <col min="13063" max="13063" width="26.85546875" style="1" customWidth="1"/>
    <col min="13064" max="13066" width="0" style="1" hidden="1" customWidth="1"/>
    <col min="13067" max="13067" width="28.7109375" style="1" customWidth="1"/>
    <col min="13068" max="13071" width="0" style="1" hidden="1" customWidth="1"/>
    <col min="13072" max="13072" width="25" style="1" customWidth="1"/>
    <col min="13073" max="13075" width="0" style="1" hidden="1" customWidth="1"/>
    <col min="13076" max="13076" width="21" style="1" customWidth="1"/>
    <col min="13077" max="13079" width="0" style="1" hidden="1" customWidth="1"/>
    <col min="13080" max="13080" width="25.85546875" style="1" customWidth="1"/>
    <col min="13081" max="13083" width="0" style="1" hidden="1" customWidth="1"/>
    <col min="13084" max="13084" width="23" style="1" customWidth="1"/>
    <col min="13085" max="13313" width="9.140625" style="1"/>
    <col min="13314" max="13314" width="6.85546875" style="1" customWidth="1"/>
    <col min="13315" max="13315" width="13.140625" style="1" bestFit="1" customWidth="1"/>
    <col min="13316" max="13318" width="0" style="1" hidden="1" customWidth="1"/>
    <col min="13319" max="13319" width="26.85546875" style="1" customWidth="1"/>
    <col min="13320" max="13322" width="0" style="1" hidden="1" customWidth="1"/>
    <col min="13323" max="13323" width="28.7109375" style="1" customWidth="1"/>
    <col min="13324" max="13327" width="0" style="1" hidden="1" customWidth="1"/>
    <col min="13328" max="13328" width="25" style="1" customWidth="1"/>
    <col min="13329" max="13331" width="0" style="1" hidden="1" customWidth="1"/>
    <col min="13332" max="13332" width="21" style="1" customWidth="1"/>
    <col min="13333" max="13335" width="0" style="1" hidden="1" customWidth="1"/>
    <col min="13336" max="13336" width="25.85546875" style="1" customWidth="1"/>
    <col min="13337" max="13339" width="0" style="1" hidden="1" customWidth="1"/>
    <col min="13340" max="13340" width="23" style="1" customWidth="1"/>
    <col min="13341" max="13569" width="9.140625" style="1"/>
    <col min="13570" max="13570" width="6.85546875" style="1" customWidth="1"/>
    <col min="13571" max="13571" width="13.140625" style="1" bestFit="1" customWidth="1"/>
    <col min="13572" max="13574" width="0" style="1" hidden="1" customWidth="1"/>
    <col min="13575" max="13575" width="26.85546875" style="1" customWidth="1"/>
    <col min="13576" max="13578" width="0" style="1" hidden="1" customWidth="1"/>
    <col min="13579" max="13579" width="28.7109375" style="1" customWidth="1"/>
    <col min="13580" max="13583" width="0" style="1" hidden="1" customWidth="1"/>
    <col min="13584" max="13584" width="25" style="1" customWidth="1"/>
    <col min="13585" max="13587" width="0" style="1" hidden="1" customWidth="1"/>
    <col min="13588" max="13588" width="21" style="1" customWidth="1"/>
    <col min="13589" max="13591" width="0" style="1" hidden="1" customWidth="1"/>
    <col min="13592" max="13592" width="25.85546875" style="1" customWidth="1"/>
    <col min="13593" max="13595" width="0" style="1" hidden="1" customWidth="1"/>
    <col min="13596" max="13596" width="23" style="1" customWidth="1"/>
    <col min="13597" max="13825" width="9.140625" style="1"/>
    <col min="13826" max="13826" width="6.85546875" style="1" customWidth="1"/>
    <col min="13827" max="13827" width="13.140625" style="1" bestFit="1" customWidth="1"/>
    <col min="13828" max="13830" width="0" style="1" hidden="1" customWidth="1"/>
    <col min="13831" max="13831" width="26.85546875" style="1" customWidth="1"/>
    <col min="13832" max="13834" width="0" style="1" hidden="1" customWidth="1"/>
    <col min="13835" max="13835" width="28.7109375" style="1" customWidth="1"/>
    <col min="13836" max="13839" width="0" style="1" hidden="1" customWidth="1"/>
    <col min="13840" max="13840" width="25" style="1" customWidth="1"/>
    <col min="13841" max="13843" width="0" style="1" hidden="1" customWidth="1"/>
    <col min="13844" max="13844" width="21" style="1" customWidth="1"/>
    <col min="13845" max="13847" width="0" style="1" hidden="1" customWidth="1"/>
    <col min="13848" max="13848" width="25.85546875" style="1" customWidth="1"/>
    <col min="13849" max="13851" width="0" style="1" hidden="1" customWidth="1"/>
    <col min="13852" max="13852" width="23" style="1" customWidth="1"/>
    <col min="13853" max="14081" width="9.140625" style="1"/>
    <col min="14082" max="14082" width="6.85546875" style="1" customWidth="1"/>
    <col min="14083" max="14083" width="13.140625" style="1" bestFit="1" customWidth="1"/>
    <col min="14084" max="14086" width="0" style="1" hidden="1" customWidth="1"/>
    <col min="14087" max="14087" width="26.85546875" style="1" customWidth="1"/>
    <col min="14088" max="14090" width="0" style="1" hidden="1" customWidth="1"/>
    <col min="14091" max="14091" width="28.7109375" style="1" customWidth="1"/>
    <col min="14092" max="14095" width="0" style="1" hidden="1" customWidth="1"/>
    <col min="14096" max="14096" width="25" style="1" customWidth="1"/>
    <col min="14097" max="14099" width="0" style="1" hidden="1" customWidth="1"/>
    <col min="14100" max="14100" width="21" style="1" customWidth="1"/>
    <col min="14101" max="14103" width="0" style="1" hidden="1" customWidth="1"/>
    <col min="14104" max="14104" width="25.85546875" style="1" customWidth="1"/>
    <col min="14105" max="14107" width="0" style="1" hidden="1" customWidth="1"/>
    <col min="14108" max="14108" width="23" style="1" customWidth="1"/>
    <col min="14109" max="14337" width="9.140625" style="1"/>
    <col min="14338" max="14338" width="6.85546875" style="1" customWidth="1"/>
    <col min="14339" max="14339" width="13.140625" style="1" bestFit="1" customWidth="1"/>
    <col min="14340" max="14342" width="0" style="1" hidden="1" customWidth="1"/>
    <col min="14343" max="14343" width="26.85546875" style="1" customWidth="1"/>
    <col min="14344" max="14346" width="0" style="1" hidden="1" customWidth="1"/>
    <col min="14347" max="14347" width="28.7109375" style="1" customWidth="1"/>
    <col min="14348" max="14351" width="0" style="1" hidden="1" customWidth="1"/>
    <col min="14352" max="14352" width="25" style="1" customWidth="1"/>
    <col min="14353" max="14355" width="0" style="1" hidden="1" customWidth="1"/>
    <col min="14356" max="14356" width="21" style="1" customWidth="1"/>
    <col min="14357" max="14359" width="0" style="1" hidden="1" customWidth="1"/>
    <col min="14360" max="14360" width="25.85546875" style="1" customWidth="1"/>
    <col min="14361" max="14363" width="0" style="1" hidden="1" customWidth="1"/>
    <col min="14364" max="14364" width="23" style="1" customWidth="1"/>
    <col min="14365" max="14593" width="9.140625" style="1"/>
    <col min="14594" max="14594" width="6.85546875" style="1" customWidth="1"/>
    <col min="14595" max="14595" width="13.140625" style="1" bestFit="1" customWidth="1"/>
    <col min="14596" max="14598" width="0" style="1" hidden="1" customWidth="1"/>
    <col min="14599" max="14599" width="26.85546875" style="1" customWidth="1"/>
    <col min="14600" max="14602" width="0" style="1" hidden="1" customWidth="1"/>
    <col min="14603" max="14603" width="28.7109375" style="1" customWidth="1"/>
    <col min="14604" max="14607" width="0" style="1" hidden="1" customWidth="1"/>
    <col min="14608" max="14608" width="25" style="1" customWidth="1"/>
    <col min="14609" max="14611" width="0" style="1" hidden="1" customWidth="1"/>
    <col min="14612" max="14612" width="21" style="1" customWidth="1"/>
    <col min="14613" max="14615" width="0" style="1" hidden="1" customWidth="1"/>
    <col min="14616" max="14616" width="25.85546875" style="1" customWidth="1"/>
    <col min="14617" max="14619" width="0" style="1" hidden="1" customWidth="1"/>
    <col min="14620" max="14620" width="23" style="1" customWidth="1"/>
    <col min="14621" max="14849" width="9.140625" style="1"/>
    <col min="14850" max="14850" width="6.85546875" style="1" customWidth="1"/>
    <col min="14851" max="14851" width="13.140625" style="1" bestFit="1" customWidth="1"/>
    <col min="14852" max="14854" width="0" style="1" hidden="1" customWidth="1"/>
    <col min="14855" max="14855" width="26.85546875" style="1" customWidth="1"/>
    <col min="14856" max="14858" width="0" style="1" hidden="1" customWidth="1"/>
    <col min="14859" max="14859" width="28.7109375" style="1" customWidth="1"/>
    <col min="14860" max="14863" width="0" style="1" hidden="1" customWidth="1"/>
    <col min="14864" max="14864" width="25" style="1" customWidth="1"/>
    <col min="14865" max="14867" width="0" style="1" hidden="1" customWidth="1"/>
    <col min="14868" max="14868" width="21" style="1" customWidth="1"/>
    <col min="14869" max="14871" width="0" style="1" hidden="1" customWidth="1"/>
    <col min="14872" max="14872" width="25.85546875" style="1" customWidth="1"/>
    <col min="14873" max="14875" width="0" style="1" hidden="1" customWidth="1"/>
    <col min="14876" max="14876" width="23" style="1" customWidth="1"/>
    <col min="14877" max="15105" width="9.140625" style="1"/>
    <col min="15106" max="15106" width="6.85546875" style="1" customWidth="1"/>
    <col min="15107" max="15107" width="13.140625" style="1" bestFit="1" customWidth="1"/>
    <col min="15108" max="15110" width="0" style="1" hidden="1" customWidth="1"/>
    <col min="15111" max="15111" width="26.85546875" style="1" customWidth="1"/>
    <col min="15112" max="15114" width="0" style="1" hidden="1" customWidth="1"/>
    <col min="15115" max="15115" width="28.7109375" style="1" customWidth="1"/>
    <col min="15116" max="15119" width="0" style="1" hidden="1" customWidth="1"/>
    <col min="15120" max="15120" width="25" style="1" customWidth="1"/>
    <col min="15121" max="15123" width="0" style="1" hidden="1" customWidth="1"/>
    <col min="15124" max="15124" width="21" style="1" customWidth="1"/>
    <col min="15125" max="15127" width="0" style="1" hidden="1" customWidth="1"/>
    <col min="15128" max="15128" width="25.85546875" style="1" customWidth="1"/>
    <col min="15129" max="15131" width="0" style="1" hidden="1" customWidth="1"/>
    <col min="15132" max="15132" width="23" style="1" customWidth="1"/>
    <col min="15133" max="15361" width="9.140625" style="1"/>
    <col min="15362" max="15362" width="6.85546875" style="1" customWidth="1"/>
    <col min="15363" max="15363" width="13.140625" style="1" bestFit="1" customWidth="1"/>
    <col min="15364" max="15366" width="0" style="1" hidden="1" customWidth="1"/>
    <col min="15367" max="15367" width="26.85546875" style="1" customWidth="1"/>
    <col min="15368" max="15370" width="0" style="1" hidden="1" customWidth="1"/>
    <col min="15371" max="15371" width="28.7109375" style="1" customWidth="1"/>
    <col min="15372" max="15375" width="0" style="1" hidden="1" customWidth="1"/>
    <col min="15376" max="15376" width="25" style="1" customWidth="1"/>
    <col min="15377" max="15379" width="0" style="1" hidden="1" customWidth="1"/>
    <col min="15380" max="15380" width="21" style="1" customWidth="1"/>
    <col min="15381" max="15383" width="0" style="1" hidden="1" customWidth="1"/>
    <col min="15384" max="15384" width="25.85546875" style="1" customWidth="1"/>
    <col min="15385" max="15387" width="0" style="1" hidden="1" customWidth="1"/>
    <col min="15388" max="15388" width="23" style="1" customWidth="1"/>
    <col min="15389" max="15617" width="9.140625" style="1"/>
    <col min="15618" max="15618" width="6.85546875" style="1" customWidth="1"/>
    <col min="15619" max="15619" width="13.140625" style="1" bestFit="1" customWidth="1"/>
    <col min="15620" max="15622" width="0" style="1" hidden="1" customWidth="1"/>
    <col min="15623" max="15623" width="26.85546875" style="1" customWidth="1"/>
    <col min="15624" max="15626" width="0" style="1" hidden="1" customWidth="1"/>
    <col min="15627" max="15627" width="28.7109375" style="1" customWidth="1"/>
    <col min="15628" max="15631" width="0" style="1" hidden="1" customWidth="1"/>
    <col min="15632" max="15632" width="25" style="1" customWidth="1"/>
    <col min="15633" max="15635" width="0" style="1" hidden="1" customWidth="1"/>
    <col min="15636" max="15636" width="21" style="1" customWidth="1"/>
    <col min="15637" max="15639" width="0" style="1" hidden="1" customWidth="1"/>
    <col min="15640" max="15640" width="25.85546875" style="1" customWidth="1"/>
    <col min="15641" max="15643" width="0" style="1" hidden="1" customWidth="1"/>
    <col min="15644" max="15644" width="23" style="1" customWidth="1"/>
    <col min="15645" max="15873" width="9.140625" style="1"/>
    <col min="15874" max="15874" width="6.85546875" style="1" customWidth="1"/>
    <col min="15875" max="15875" width="13.140625" style="1" bestFit="1" customWidth="1"/>
    <col min="15876" max="15878" width="0" style="1" hidden="1" customWidth="1"/>
    <col min="15879" max="15879" width="26.85546875" style="1" customWidth="1"/>
    <col min="15880" max="15882" width="0" style="1" hidden="1" customWidth="1"/>
    <col min="15883" max="15883" width="28.7109375" style="1" customWidth="1"/>
    <col min="15884" max="15887" width="0" style="1" hidden="1" customWidth="1"/>
    <col min="15888" max="15888" width="25" style="1" customWidth="1"/>
    <col min="15889" max="15891" width="0" style="1" hidden="1" customWidth="1"/>
    <col min="15892" max="15892" width="21" style="1" customWidth="1"/>
    <col min="15893" max="15895" width="0" style="1" hidden="1" customWidth="1"/>
    <col min="15896" max="15896" width="25.85546875" style="1" customWidth="1"/>
    <col min="15897" max="15899" width="0" style="1" hidden="1" customWidth="1"/>
    <col min="15900" max="15900" width="23" style="1" customWidth="1"/>
    <col min="15901" max="16129" width="9.140625" style="1"/>
    <col min="16130" max="16130" width="6.85546875" style="1" customWidth="1"/>
    <col min="16131" max="16131" width="13.140625" style="1" bestFit="1" customWidth="1"/>
    <col min="16132" max="16134" width="0" style="1" hidden="1" customWidth="1"/>
    <col min="16135" max="16135" width="26.85546875" style="1" customWidth="1"/>
    <col min="16136" max="16138" width="0" style="1" hidden="1" customWidth="1"/>
    <col min="16139" max="16139" width="28.7109375" style="1" customWidth="1"/>
    <col min="16140" max="16143" width="0" style="1" hidden="1" customWidth="1"/>
    <col min="16144" max="16144" width="25" style="1" customWidth="1"/>
    <col min="16145" max="16147" width="0" style="1" hidden="1" customWidth="1"/>
    <col min="16148" max="16148" width="21" style="1" customWidth="1"/>
    <col min="16149" max="16151" width="0" style="1" hidden="1" customWidth="1"/>
    <col min="16152" max="16152" width="25.85546875" style="1" customWidth="1"/>
    <col min="16153" max="16155" width="0" style="1" hidden="1" customWidth="1"/>
    <col min="16156" max="16156" width="23" style="1" customWidth="1"/>
    <col min="16157" max="16384" width="9.140625" style="1"/>
  </cols>
  <sheetData>
    <row r="1" spans="2:28">
      <c r="J1" s="2487"/>
      <c r="K1" s="2487"/>
    </row>
    <row r="2" spans="2:28" ht="15.75" customHeight="1">
      <c r="B2" s="2418" t="s">
        <v>343</v>
      </c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  <c r="N2" s="2418"/>
      <c r="O2" s="2418"/>
      <c r="P2" s="2418"/>
      <c r="Q2" s="2418"/>
      <c r="R2" s="2418"/>
      <c r="S2" s="2418"/>
      <c r="T2" s="2418"/>
      <c r="U2" s="2418"/>
      <c r="V2" s="2418"/>
      <c r="W2" s="2418"/>
      <c r="X2" s="2418"/>
      <c r="Y2" s="2418"/>
      <c r="Z2" s="2418"/>
      <c r="AA2" s="2418"/>
      <c r="AB2" s="2418"/>
    </row>
    <row r="3" spans="2:28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  <c r="N3" s="2419"/>
      <c r="O3" s="2419"/>
      <c r="P3" s="2419"/>
      <c r="Q3" s="2419"/>
      <c r="R3" s="2419"/>
      <c r="S3" s="2419"/>
      <c r="T3" s="2419"/>
      <c r="U3" s="2419"/>
      <c r="V3" s="2419"/>
      <c r="W3" s="2419"/>
      <c r="X3" s="2419"/>
      <c r="Y3" s="2419"/>
      <c r="Z3" s="2419"/>
      <c r="AA3" s="2419"/>
      <c r="AB3" s="2419"/>
    </row>
    <row r="5" spans="2:28">
      <c r="B5" s="2541" t="s">
        <v>2736</v>
      </c>
      <c r="C5" s="2541"/>
      <c r="D5" s="2541"/>
      <c r="E5" s="2541"/>
      <c r="F5" s="2541"/>
      <c r="G5" s="2541"/>
      <c r="H5" s="2541"/>
      <c r="I5" s="2541"/>
      <c r="J5" s="2541"/>
      <c r="K5" s="2541"/>
      <c r="L5" s="2541"/>
      <c r="M5" s="2541"/>
      <c r="N5" s="2541"/>
      <c r="O5" s="2541"/>
      <c r="P5" s="2541"/>
      <c r="Q5" s="2541"/>
      <c r="R5" s="2541"/>
      <c r="S5" s="2541"/>
      <c r="T5" s="2541"/>
      <c r="U5" s="2541"/>
      <c r="V5" s="2541"/>
      <c r="W5" s="2541"/>
      <c r="X5" s="2541"/>
      <c r="Y5" s="2541"/>
      <c r="Z5" s="2541"/>
      <c r="AA5" s="2541"/>
      <c r="AB5" s="2541"/>
    </row>
    <row r="6" spans="2:28">
      <c r="B6" s="2541" t="s">
        <v>2638</v>
      </c>
      <c r="C6" s="2541"/>
      <c r="D6" s="2541"/>
      <c r="E6" s="2541"/>
      <c r="F6" s="2541"/>
      <c r="G6" s="2541"/>
      <c r="H6" s="2541"/>
      <c r="I6" s="2541"/>
      <c r="J6" s="2541"/>
      <c r="K6" s="2541"/>
      <c r="L6" s="2541"/>
      <c r="M6" s="2541"/>
      <c r="N6" s="2541"/>
      <c r="O6" s="2541"/>
      <c r="P6" s="2541"/>
      <c r="Q6" s="2541"/>
      <c r="R6" s="2541"/>
      <c r="S6" s="2541"/>
      <c r="T6" s="2541"/>
      <c r="U6" s="2541"/>
      <c r="V6" s="2541"/>
      <c r="W6" s="2541"/>
      <c r="X6" s="2541"/>
      <c r="Y6" s="2541"/>
      <c r="Z6" s="2541"/>
      <c r="AA6" s="2541"/>
      <c r="AB6" s="2541"/>
    </row>
    <row r="7" spans="2:28" ht="16.5" thickBot="1"/>
    <row r="8" spans="2:28" ht="39.75" customHeight="1">
      <c r="B8" s="2448" t="s">
        <v>349</v>
      </c>
      <c r="C8" s="2450" t="s">
        <v>331</v>
      </c>
      <c r="D8" s="2450" t="s">
        <v>2639</v>
      </c>
      <c r="E8" s="2450"/>
      <c r="F8" s="2450"/>
      <c r="G8" s="2450"/>
      <c r="H8" s="2450" t="s">
        <v>2640</v>
      </c>
      <c r="I8" s="2450"/>
      <c r="J8" s="2450"/>
      <c r="K8" s="2450"/>
      <c r="L8" s="2450" t="s">
        <v>2753</v>
      </c>
      <c r="M8" s="2450"/>
      <c r="N8" s="2450"/>
      <c r="O8" s="2450"/>
      <c r="P8" s="2450"/>
      <c r="Q8" s="2450" t="s">
        <v>2752</v>
      </c>
      <c r="R8" s="2450"/>
      <c r="S8" s="2450"/>
      <c r="T8" s="2450"/>
      <c r="U8" s="2450" t="s">
        <v>2751</v>
      </c>
      <c r="V8" s="2450"/>
      <c r="W8" s="2450"/>
      <c r="X8" s="2450"/>
      <c r="Y8" s="2450" t="s">
        <v>2750</v>
      </c>
      <c r="Z8" s="2450"/>
      <c r="AA8" s="2450"/>
      <c r="AB8" s="2542"/>
    </row>
    <row r="9" spans="2:28">
      <c r="B9" s="2449"/>
      <c r="C9" s="2451"/>
      <c r="D9" s="2140"/>
      <c r="E9" s="2144"/>
      <c r="F9" s="2140"/>
      <c r="G9" s="2144" t="s">
        <v>1037</v>
      </c>
      <c r="H9" s="2140"/>
      <c r="I9" s="2144"/>
      <c r="J9" s="2140"/>
      <c r="K9" s="2144" t="s">
        <v>1037</v>
      </c>
      <c r="L9" s="2140"/>
      <c r="M9" s="2144"/>
      <c r="N9" s="2140"/>
      <c r="O9" s="2144"/>
      <c r="P9" s="2144" t="s">
        <v>1037</v>
      </c>
      <c r="Q9" s="2140"/>
      <c r="R9" s="2144"/>
      <c r="S9" s="2140"/>
      <c r="T9" s="2144" t="s">
        <v>1037</v>
      </c>
      <c r="U9" s="2140"/>
      <c r="V9" s="2144"/>
      <c r="W9" s="2140"/>
      <c r="X9" s="2144" t="s">
        <v>2508</v>
      </c>
      <c r="Y9" s="2140"/>
      <c r="Z9" s="2144"/>
      <c r="AA9" s="2140"/>
      <c r="AB9" s="2146" t="s">
        <v>2508</v>
      </c>
    </row>
    <row r="10" spans="2:28">
      <c r="B10" s="587">
        <v>1</v>
      </c>
      <c r="C10" s="346" t="s">
        <v>2641</v>
      </c>
      <c r="D10" s="347"/>
      <c r="E10" s="347"/>
      <c r="F10" s="347"/>
      <c r="G10" s="1789">
        <v>0</v>
      </c>
      <c r="H10" s="1810"/>
      <c r="I10" s="1810"/>
      <c r="J10" s="1810"/>
      <c r="K10" s="1817">
        <v>0</v>
      </c>
      <c r="L10" s="1789"/>
      <c r="M10" s="1789"/>
      <c r="N10" s="1810"/>
      <c r="O10" s="1789"/>
      <c r="P10" s="1816">
        <v>0</v>
      </c>
      <c r="Q10" s="1810"/>
      <c r="R10" s="1810"/>
      <c r="S10" s="1810"/>
      <c r="T10" s="1815">
        <v>0</v>
      </c>
      <c r="U10" s="1810"/>
      <c r="V10" s="1810"/>
      <c r="W10" s="1810"/>
      <c r="X10" s="1817">
        <v>1150</v>
      </c>
      <c r="Y10" s="1810"/>
      <c r="Z10" s="1810"/>
      <c r="AA10" s="1810"/>
      <c r="AB10" s="1812">
        <v>1604</v>
      </c>
    </row>
    <row r="11" spans="2:28">
      <c r="B11" s="587">
        <v>2</v>
      </c>
      <c r="C11" s="346" t="s">
        <v>103</v>
      </c>
      <c r="D11" s="347"/>
      <c r="E11" s="347"/>
      <c r="F11" s="347"/>
      <c r="G11" s="1789">
        <v>4322</v>
      </c>
      <c r="H11" s="1810"/>
      <c r="I11" s="1810"/>
      <c r="J11" s="1810"/>
      <c r="K11" s="1789">
        <v>4765</v>
      </c>
      <c r="L11" s="1789"/>
      <c r="M11" s="1789"/>
      <c r="N11" s="1810"/>
      <c r="O11" s="1789"/>
      <c r="P11" s="1816">
        <v>5035</v>
      </c>
      <c r="Q11" s="1810"/>
      <c r="R11" s="1810"/>
      <c r="S11" s="1810"/>
      <c r="T11" s="1815">
        <v>5125</v>
      </c>
      <c r="U11" s="1810"/>
      <c r="V11" s="1810"/>
      <c r="W11" s="1810"/>
      <c r="X11" s="1817">
        <v>5500</v>
      </c>
      <c r="Y11" s="1810"/>
      <c r="Z11" s="1810"/>
      <c r="AA11" s="1810"/>
      <c r="AB11" s="1812">
        <v>6810</v>
      </c>
    </row>
    <row r="12" spans="2:28">
      <c r="B12" s="587">
        <v>3</v>
      </c>
      <c r="C12" s="346" t="s">
        <v>431</v>
      </c>
      <c r="D12" s="347"/>
      <c r="E12" s="347"/>
      <c r="F12" s="347"/>
      <c r="G12" s="1789">
        <v>3101</v>
      </c>
      <c r="H12" s="1810"/>
      <c r="I12" s="1810"/>
      <c r="J12" s="1810"/>
      <c r="K12" s="1789">
        <v>3109</v>
      </c>
      <c r="L12" s="1789"/>
      <c r="M12" s="1789"/>
      <c r="N12" s="1810"/>
      <c r="O12" s="1789"/>
      <c r="P12" s="1816">
        <v>3111</v>
      </c>
      <c r="Q12" s="1810"/>
      <c r="R12" s="1810"/>
      <c r="S12" s="1810"/>
      <c r="T12" s="1815">
        <v>3074</v>
      </c>
      <c r="U12" s="1810"/>
      <c r="V12" s="1810"/>
      <c r="W12" s="1810"/>
      <c r="X12" s="1817">
        <v>3074</v>
      </c>
      <c r="Y12" s="1810"/>
      <c r="Z12" s="1810"/>
      <c r="AA12" s="1810"/>
      <c r="AB12" s="1812">
        <v>3078</v>
      </c>
    </row>
    <row r="13" spans="2:28" ht="16.5" thickBot="1">
      <c r="B13" s="604">
        <v>4</v>
      </c>
      <c r="C13" s="1637" t="s">
        <v>287</v>
      </c>
      <c r="D13" s="1637"/>
      <c r="E13" s="1637"/>
      <c r="F13" s="1637"/>
      <c r="G13" s="1813">
        <f>SUM(G10:G12)</f>
        <v>7423</v>
      </c>
      <c r="H13" s="1813">
        <f t="shared" ref="H13:AB13" si="0">SUM(H10:H12)</f>
        <v>0</v>
      </c>
      <c r="I13" s="1813">
        <f t="shared" si="0"/>
        <v>0</v>
      </c>
      <c r="J13" s="1813">
        <f t="shared" si="0"/>
        <v>0</v>
      </c>
      <c r="K13" s="1813">
        <f t="shared" si="0"/>
        <v>7874</v>
      </c>
      <c r="L13" s="1813">
        <f t="shared" si="0"/>
        <v>0</v>
      </c>
      <c r="M13" s="1813">
        <f t="shared" si="0"/>
        <v>0</v>
      </c>
      <c r="N13" s="1813">
        <f t="shared" si="0"/>
        <v>0</v>
      </c>
      <c r="O13" s="1813">
        <f t="shared" si="0"/>
        <v>0</v>
      </c>
      <c r="P13" s="1813">
        <f t="shared" si="0"/>
        <v>8146</v>
      </c>
      <c r="Q13" s="1813">
        <f t="shared" si="0"/>
        <v>0</v>
      </c>
      <c r="R13" s="1813">
        <f t="shared" si="0"/>
        <v>0</v>
      </c>
      <c r="S13" s="1813">
        <f t="shared" si="0"/>
        <v>0</v>
      </c>
      <c r="T13" s="1813">
        <f t="shared" si="0"/>
        <v>8199</v>
      </c>
      <c r="U13" s="1813">
        <f t="shared" si="0"/>
        <v>0</v>
      </c>
      <c r="V13" s="1813">
        <f t="shared" si="0"/>
        <v>0</v>
      </c>
      <c r="W13" s="1813">
        <f t="shared" si="0"/>
        <v>0</v>
      </c>
      <c r="X13" s="1813">
        <f t="shared" si="0"/>
        <v>9724</v>
      </c>
      <c r="Y13" s="1813">
        <f t="shared" si="0"/>
        <v>0</v>
      </c>
      <c r="Z13" s="1813">
        <f t="shared" si="0"/>
        <v>0</v>
      </c>
      <c r="AA13" s="1813">
        <f t="shared" si="0"/>
        <v>0</v>
      </c>
      <c r="AB13" s="1814">
        <f t="shared" si="0"/>
        <v>11492</v>
      </c>
    </row>
    <row r="15" spans="2:28">
      <c r="G15" s="2543"/>
      <c r="H15" s="2544"/>
      <c r="I15" s="2544"/>
      <c r="J15" s="2544"/>
      <c r="K15" s="2544"/>
      <c r="L15" s="2544"/>
      <c r="M15" s="2544"/>
      <c r="N15" s="2544"/>
      <c r="O15" s="2544"/>
      <c r="P15" s="2544"/>
      <c r="Q15" s="2544"/>
      <c r="R15" s="2544"/>
      <c r="S15" s="2544"/>
      <c r="T15" s="2544"/>
      <c r="U15" s="2544"/>
      <c r="V15" s="2544"/>
      <c r="W15" s="2544"/>
      <c r="X15" s="2544"/>
      <c r="Y15" s="2544"/>
      <c r="Z15" s="2544"/>
      <c r="AA15" s="2544"/>
      <c r="AB15" s="2544"/>
    </row>
    <row r="16" spans="2:28">
      <c r="G16" s="2544"/>
      <c r="H16" s="2544"/>
      <c r="I16" s="2544"/>
      <c r="J16" s="2544"/>
      <c r="K16" s="2544"/>
      <c r="L16" s="2544"/>
      <c r="M16" s="2544"/>
      <c r="N16" s="2544"/>
      <c r="O16" s="2544"/>
      <c r="P16" s="2544"/>
      <c r="Q16" s="2544"/>
      <c r="R16" s="2544"/>
      <c r="S16" s="2544"/>
      <c r="T16" s="2544"/>
      <c r="U16" s="2544"/>
      <c r="V16" s="2544"/>
      <c r="W16" s="2544"/>
      <c r="X16" s="2544"/>
      <c r="Y16" s="2544"/>
      <c r="Z16" s="2544"/>
      <c r="AA16" s="2544"/>
      <c r="AB16" s="2544"/>
    </row>
  </sheetData>
  <mergeCells count="14">
    <mergeCell ref="Q8:T8"/>
    <mergeCell ref="U8:X8"/>
    <mergeCell ref="Y8:AB8"/>
    <mergeCell ref="G15:AB16"/>
    <mergeCell ref="J1:K1"/>
    <mergeCell ref="B6:AB6"/>
    <mergeCell ref="B5:AB5"/>
    <mergeCell ref="B2:AB2"/>
    <mergeCell ref="B3:AB3"/>
    <mergeCell ref="B8:B9"/>
    <mergeCell ref="C8:C9"/>
    <mergeCell ref="D8:G8"/>
    <mergeCell ref="H8:K8"/>
    <mergeCell ref="L8:P8"/>
  </mergeCells>
  <printOptions horizontalCentered="1"/>
  <pageMargins left="0.7" right="0.7" top="0.75" bottom="0.75" header="0.3" footer="0.3"/>
  <pageSetup paperSize="9" scale="75" firstPageNumber="12" orientation="landscape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L51"/>
  <sheetViews>
    <sheetView topLeftCell="A23" zoomScale="69" zoomScaleNormal="69" workbookViewId="0">
      <selection activeCell="E12" sqref="E12"/>
    </sheetView>
  </sheetViews>
  <sheetFormatPr defaultRowHeight="15"/>
  <cols>
    <col min="1" max="3" width="9.140625" style="1500"/>
    <col min="4" max="4" width="20.28515625" style="1500" bestFit="1" customWidth="1"/>
    <col min="5" max="8" width="11" style="1500" customWidth="1"/>
    <col min="9" max="16384" width="9.140625" style="1500"/>
  </cols>
  <sheetData>
    <row r="1" spans="3:12" ht="15.75" thickBot="1"/>
    <row r="2" spans="3:12" ht="15.75" customHeight="1" thickBot="1">
      <c r="C2" s="2345" t="s">
        <v>1003</v>
      </c>
      <c r="D2" s="2348" t="s">
        <v>282</v>
      </c>
      <c r="E2" s="2341" t="s">
        <v>2539</v>
      </c>
      <c r="F2" s="2342"/>
      <c r="G2" s="2342"/>
      <c r="H2" s="2344"/>
      <c r="I2" s="2338" t="s">
        <v>2540</v>
      </c>
      <c r="J2" s="2339"/>
      <c r="K2" s="2339"/>
      <c r="L2" s="2340"/>
    </row>
    <row r="3" spans="3:12" ht="30" thickBot="1">
      <c r="C3" s="2346"/>
      <c r="D3" s="2349"/>
      <c r="E3" s="2341" t="s">
        <v>1752</v>
      </c>
      <c r="F3" s="2342"/>
      <c r="G3" s="2343"/>
      <c r="H3" s="1512" t="s">
        <v>2590</v>
      </c>
      <c r="I3" s="2341" t="s">
        <v>1752</v>
      </c>
      <c r="J3" s="2342"/>
      <c r="K3" s="2344"/>
      <c r="L3" s="1512" t="s">
        <v>2590</v>
      </c>
    </row>
    <row r="4" spans="3:12" ht="44.25" thickBot="1">
      <c r="C4" s="2347"/>
      <c r="D4" s="2350"/>
      <c r="E4" s="1512" t="s">
        <v>1035</v>
      </c>
      <c r="F4" s="1512" t="s">
        <v>1036</v>
      </c>
      <c r="G4" s="1512" t="s">
        <v>2508</v>
      </c>
      <c r="H4" s="1512" t="s">
        <v>1040</v>
      </c>
      <c r="I4" s="1512" t="s">
        <v>1035</v>
      </c>
      <c r="J4" s="1512" t="s">
        <v>1036</v>
      </c>
      <c r="K4" s="1512" t="s">
        <v>2508</v>
      </c>
      <c r="L4" s="1512" t="s">
        <v>1040</v>
      </c>
    </row>
    <row r="5" spans="3:12" ht="15.75" thickBot="1">
      <c r="C5" s="1504">
        <v>1</v>
      </c>
      <c r="D5" s="1503" t="s">
        <v>2744</v>
      </c>
      <c r="E5" s="1513" t="e">
        <f>Transmission!D5</f>
        <v>#REF!</v>
      </c>
      <c r="F5" s="1513" t="e">
        <f>Transmission!E5</f>
        <v>#REF!</v>
      </c>
      <c r="G5" s="1513" t="e">
        <f>Transmission!F5</f>
        <v>#REF!</v>
      </c>
      <c r="H5" s="1513" t="e">
        <f>Transmission!G5</f>
        <v>#REF!</v>
      </c>
      <c r="I5" s="1513" t="e">
        <f>Transmission!H5</f>
        <v>#REF!</v>
      </c>
      <c r="J5" s="1513" t="e">
        <f>Transmission!I5</f>
        <v>#REF!</v>
      </c>
      <c r="K5" s="1513" t="e">
        <f>Transmission!J5</f>
        <v>#REF!</v>
      </c>
      <c r="L5" s="1513" t="e">
        <f>Transmission!K5</f>
        <v>#REF!</v>
      </c>
    </row>
    <row r="6" spans="3:12" ht="15.75" thickBot="1">
      <c r="C6" s="1504">
        <v>2</v>
      </c>
      <c r="D6" s="1503" t="s">
        <v>2745</v>
      </c>
      <c r="E6" s="1513" t="e">
        <f>Transmission!D6</f>
        <v>#REF!</v>
      </c>
      <c r="F6" s="1513" t="e">
        <f>Transmission!E6</f>
        <v>#REF!</v>
      </c>
      <c r="G6" s="1513" t="e">
        <f>Transmission!F6</f>
        <v>#REF!</v>
      </c>
      <c r="H6" s="1513" t="e">
        <f>Transmission!G6</f>
        <v>#REF!</v>
      </c>
      <c r="I6" s="1513" t="e">
        <f>Transmission!H6</f>
        <v>#REF!</v>
      </c>
      <c r="J6" s="1513" t="e">
        <f>Transmission!I6</f>
        <v>#REF!</v>
      </c>
      <c r="K6" s="1513" t="e">
        <f>Transmission!J6</f>
        <v>#REF!</v>
      </c>
      <c r="L6" s="1513" t="e">
        <f>Transmission!K6</f>
        <v>#REF!</v>
      </c>
    </row>
    <row r="7" spans="3:12" ht="15.75" thickBot="1">
      <c r="C7" s="1504">
        <v>3</v>
      </c>
      <c r="D7" s="1503" t="s">
        <v>2746</v>
      </c>
      <c r="E7" s="1513" t="e">
        <f>Transmission!D7</f>
        <v>#REF!</v>
      </c>
      <c r="F7" s="1513" t="e">
        <f>Transmission!E7</f>
        <v>#REF!</v>
      </c>
      <c r="G7" s="1513" t="e">
        <f>Transmission!F7</f>
        <v>#REF!</v>
      </c>
      <c r="H7" s="1513" t="e">
        <f>Transmission!G7</f>
        <v>#REF!</v>
      </c>
      <c r="I7" s="1513" t="e">
        <f>Transmission!H7</f>
        <v>#REF!</v>
      </c>
      <c r="J7" s="1513" t="e">
        <f>Transmission!I7</f>
        <v>#REF!</v>
      </c>
      <c r="K7" s="1513" t="e">
        <f>Transmission!J7</f>
        <v>#REF!</v>
      </c>
      <c r="L7" s="1513" t="e">
        <f>Transmission!K7</f>
        <v>#REF!</v>
      </c>
    </row>
    <row r="8" spans="3:12" ht="30.75" customHeight="1" thickBot="1">
      <c r="C8" s="1504">
        <v>4</v>
      </c>
      <c r="D8" s="1503" t="s">
        <v>384</v>
      </c>
      <c r="E8" s="1513" t="e">
        <f>Transmission!D8</f>
        <v>#REF!</v>
      </c>
      <c r="F8" s="1513" t="e">
        <f>Transmission!E8</f>
        <v>#REF!</v>
      </c>
      <c r="G8" s="1513" t="e">
        <f>Transmission!F8</f>
        <v>#REF!</v>
      </c>
      <c r="H8" s="1513" t="e">
        <f>Transmission!G8</f>
        <v>#REF!</v>
      </c>
      <c r="I8" s="1513" t="e">
        <f>Transmission!H8</f>
        <v>#REF!</v>
      </c>
      <c r="J8" s="1513" t="e">
        <f>Transmission!I8</f>
        <v>#REF!</v>
      </c>
      <c r="K8" s="1513" t="e">
        <f>Transmission!J8</f>
        <v>#REF!</v>
      </c>
      <c r="L8" s="1513" t="e">
        <f>Transmission!K8</f>
        <v>#REF!</v>
      </c>
    </row>
    <row r="9" spans="3:12" ht="15.75" thickBot="1">
      <c r="C9" s="1504">
        <v>5</v>
      </c>
      <c r="D9" s="1503" t="s">
        <v>385</v>
      </c>
      <c r="E9" s="1513" t="e">
        <f>Transmission!D9</f>
        <v>#REF!</v>
      </c>
      <c r="F9" s="1513" t="e">
        <f>Transmission!E9</f>
        <v>#REF!</v>
      </c>
      <c r="G9" s="1513" t="e">
        <f>Transmission!F9</f>
        <v>#REF!</v>
      </c>
      <c r="H9" s="1513" t="e">
        <f>Transmission!G9</f>
        <v>#REF!</v>
      </c>
      <c r="I9" s="1513" t="e">
        <f>Transmission!H9</f>
        <v>#REF!</v>
      </c>
      <c r="J9" s="1513" t="e">
        <f>Transmission!I9</f>
        <v>#REF!</v>
      </c>
      <c r="K9" s="1513" t="e">
        <f>Transmission!J9</f>
        <v>#REF!</v>
      </c>
      <c r="L9" s="1513" t="e">
        <f>Transmission!K9</f>
        <v>#REF!</v>
      </c>
    </row>
    <row r="10" spans="3:12" ht="60.75" customHeight="1" thickBot="1">
      <c r="C10" s="1504">
        <v>6</v>
      </c>
      <c r="D10" s="1503" t="s">
        <v>340</v>
      </c>
      <c r="E10" s="1514" t="e">
        <f>Transmission!D10</f>
        <v>#REF!</v>
      </c>
      <c r="F10" s="1514" t="e">
        <f>Transmission!E10</f>
        <v>#REF!</v>
      </c>
      <c r="G10" s="1513" t="e">
        <f>Transmission!F10</f>
        <v>#REF!</v>
      </c>
      <c r="H10" s="1513" t="e">
        <f>Transmission!G10</f>
        <v>#REF!</v>
      </c>
      <c r="I10" s="1513" t="e">
        <f>Transmission!H10</f>
        <v>#REF!</v>
      </c>
      <c r="J10" s="1513" t="e">
        <f>Transmission!I10</f>
        <v>#REF!</v>
      </c>
      <c r="K10" s="1513" t="e">
        <f>Transmission!J10</f>
        <v>#REF!</v>
      </c>
      <c r="L10" s="1513" t="e">
        <f>Transmission!K10</f>
        <v>#REF!</v>
      </c>
    </row>
    <row r="11" spans="3:12" ht="15.75" thickBot="1">
      <c r="C11" s="1504">
        <v>7</v>
      </c>
      <c r="D11" s="1503" t="s">
        <v>196</v>
      </c>
      <c r="E11" s="1514" t="e">
        <f>Transmission!D11</f>
        <v>#REF!</v>
      </c>
      <c r="F11" s="1514" t="e">
        <f>Transmission!E11</f>
        <v>#REF!</v>
      </c>
      <c r="G11" s="1513" t="e">
        <f>Transmission!F11</f>
        <v>#REF!</v>
      </c>
      <c r="H11" s="1513" t="e">
        <f>Transmission!G11</f>
        <v>#REF!</v>
      </c>
      <c r="I11" s="1513" t="e">
        <f>Transmission!H11</f>
        <v>#REF!</v>
      </c>
      <c r="J11" s="1513" t="e">
        <f>Transmission!I11</f>
        <v>#REF!</v>
      </c>
      <c r="K11" s="1513" t="e">
        <f>Transmission!J11</f>
        <v>#REF!</v>
      </c>
      <c r="L11" s="1513" t="e">
        <f>Transmission!K11</f>
        <v>#REF!</v>
      </c>
    </row>
    <row r="12" spans="3:12" ht="15.75" thickBot="1">
      <c r="C12" s="1504">
        <v>8</v>
      </c>
      <c r="D12" s="1503" t="s">
        <v>2530</v>
      </c>
      <c r="E12" s="1513" t="e">
        <f>Transmission!D12</f>
        <v>#REF!</v>
      </c>
      <c r="F12" s="1513" t="e">
        <f>Transmission!E12</f>
        <v>#REF!</v>
      </c>
      <c r="G12" s="1513" t="e">
        <f>Transmission!F12</f>
        <v>#REF!</v>
      </c>
      <c r="H12" s="1513" t="e">
        <f>Transmission!G12</f>
        <v>#REF!</v>
      </c>
      <c r="I12" s="1513" t="e">
        <f>Transmission!H12</f>
        <v>#REF!</v>
      </c>
      <c r="J12" s="1513" t="e">
        <f>Transmission!I12</f>
        <v>#REF!</v>
      </c>
      <c r="K12" s="1513" t="e">
        <f>Transmission!J12</f>
        <v>#REF!</v>
      </c>
      <c r="L12" s="1513" t="e">
        <f>Transmission!K12</f>
        <v>#REF!</v>
      </c>
    </row>
    <row r="13" spans="3:12" ht="75.75" customHeight="1" thickBot="1">
      <c r="C13" s="1504">
        <v>9</v>
      </c>
      <c r="D13" s="1503" t="s">
        <v>2545</v>
      </c>
      <c r="E13" s="1513" t="e">
        <f>Transmission!D13</f>
        <v>#REF!</v>
      </c>
      <c r="F13" s="1513" t="e">
        <f>Transmission!E13</f>
        <v>#REF!</v>
      </c>
      <c r="G13" s="1513" t="e">
        <f>Transmission!F13</f>
        <v>#REF!</v>
      </c>
      <c r="H13" s="1513" t="e">
        <f>Transmission!G13</f>
        <v>#REF!</v>
      </c>
      <c r="I13" s="1513" t="e">
        <f>Transmission!H13</f>
        <v>#REF!</v>
      </c>
      <c r="J13" s="1513" t="e">
        <f>Transmission!I13</f>
        <v>#REF!</v>
      </c>
      <c r="K13" s="1513" t="e">
        <f>Transmission!J13</f>
        <v>#REF!</v>
      </c>
      <c r="L13" s="1513" t="e">
        <f>Transmission!K13</f>
        <v>#REF!</v>
      </c>
    </row>
    <row r="14" spans="3:12" ht="58.5" customHeight="1" thickBot="1">
      <c r="C14" s="1511">
        <v>10</v>
      </c>
      <c r="D14" s="1510" t="s">
        <v>386</v>
      </c>
      <c r="E14" s="1515" t="e">
        <f>Transmission!D14</f>
        <v>#REF!</v>
      </c>
      <c r="F14" s="1515" t="e">
        <f>Transmission!E14</f>
        <v>#REF!</v>
      </c>
      <c r="G14" s="1515" t="e">
        <f>Transmission!F14</f>
        <v>#REF!</v>
      </c>
      <c r="H14" s="1515" t="e">
        <f>Transmission!G14</f>
        <v>#REF!</v>
      </c>
      <c r="I14" s="1515" t="e">
        <f>Transmission!H14</f>
        <v>#REF!</v>
      </c>
      <c r="J14" s="1515" t="e">
        <f>Transmission!I14</f>
        <v>#REF!</v>
      </c>
      <c r="K14" s="1515" t="e">
        <f>Transmission!J14</f>
        <v>#REF!</v>
      </c>
      <c r="L14" s="1515" t="e">
        <f>Transmission!K14</f>
        <v>#REF!</v>
      </c>
    </row>
    <row r="15" spans="3:12" ht="60.75" customHeight="1" thickBot="1">
      <c r="C15" s="1504">
        <v>11</v>
      </c>
      <c r="D15" s="1503" t="s">
        <v>391</v>
      </c>
      <c r="E15" s="1513" t="e">
        <f>Transmission!D15</f>
        <v>#REF!</v>
      </c>
      <c r="F15" s="1513" t="e">
        <f>Transmission!E15</f>
        <v>#REF!</v>
      </c>
      <c r="G15" s="1513" t="e">
        <f>Transmission!F15</f>
        <v>#REF!</v>
      </c>
      <c r="H15" s="1513" t="e">
        <f>Transmission!G15</f>
        <v>#REF!</v>
      </c>
      <c r="I15" s="1513" t="e">
        <f>Transmission!H15</f>
        <v>#REF!</v>
      </c>
      <c r="J15" s="1513" t="e">
        <f>Transmission!I15</f>
        <v>#REF!</v>
      </c>
      <c r="K15" s="1513" t="e">
        <f>Transmission!J15</f>
        <v>#REF!</v>
      </c>
      <c r="L15" s="1513" t="e">
        <f>Transmission!K15</f>
        <v>#REF!</v>
      </c>
    </row>
    <row r="16" spans="3:12" ht="15.75" hidden="1" thickBot="1">
      <c r="C16" s="1504">
        <v>12</v>
      </c>
      <c r="D16" s="1503" t="s">
        <v>2536</v>
      </c>
      <c r="E16" s="1513" t="e">
        <f>Transmission!D16</f>
        <v>#REF!</v>
      </c>
      <c r="F16" s="1513" t="e">
        <f>Transmission!E16</f>
        <v>#REF!</v>
      </c>
      <c r="G16" s="1513" t="e">
        <f>Transmission!F16</f>
        <v>#REF!</v>
      </c>
      <c r="H16" s="1513" t="e">
        <f>Transmission!G16</f>
        <v>#REF!</v>
      </c>
      <c r="I16" s="1513" t="e">
        <f>Transmission!H16</f>
        <v>#REF!</v>
      </c>
      <c r="J16" s="1513" t="e">
        <f>Transmission!I16</f>
        <v>#REF!</v>
      </c>
      <c r="K16" s="1513" t="e">
        <f>Transmission!J16</f>
        <v>#REF!</v>
      </c>
      <c r="L16" s="1513" t="e">
        <f>Transmission!K16</f>
        <v>#REF!</v>
      </c>
    </row>
    <row r="17" spans="3:12" ht="87" customHeight="1" thickBot="1">
      <c r="C17" s="1504">
        <v>12</v>
      </c>
      <c r="D17" s="1510" t="s">
        <v>2543</v>
      </c>
      <c r="E17" s="1515" t="e">
        <f>Transmission!D17</f>
        <v>#REF!</v>
      </c>
      <c r="F17" s="1515" t="e">
        <f>Transmission!E17</f>
        <v>#REF!</v>
      </c>
      <c r="G17" s="1515" t="e">
        <f>Transmission!F17</f>
        <v>#REF!</v>
      </c>
      <c r="H17" s="1515" t="e">
        <f>Transmission!G17</f>
        <v>#REF!</v>
      </c>
      <c r="I17" s="1515" t="e">
        <f>Transmission!H17</f>
        <v>#REF!</v>
      </c>
      <c r="J17" s="1515" t="e">
        <f>Transmission!I17</f>
        <v>#REF!</v>
      </c>
      <c r="K17" s="1515" t="e">
        <f>Transmission!J17</f>
        <v>#REF!</v>
      </c>
      <c r="L17" s="1515" t="e">
        <f>Transmission!K17</f>
        <v>#REF!</v>
      </c>
    </row>
    <row r="18" spans="3:12" ht="60.75" customHeight="1" thickBot="1">
      <c r="C18" s="1504">
        <v>13</v>
      </c>
      <c r="D18" s="1503" t="s">
        <v>2531</v>
      </c>
      <c r="E18" s="1513" t="e">
        <f>Transmission!D18</f>
        <v>#REF!</v>
      </c>
      <c r="F18" s="1513" t="e">
        <f>Transmission!E18</f>
        <v>#REF!</v>
      </c>
      <c r="G18" s="1513" t="e">
        <f>Transmission!F18</f>
        <v>#REF!</v>
      </c>
      <c r="H18" s="1513" t="e">
        <f>Transmission!G18</f>
        <v>#REF!</v>
      </c>
      <c r="I18" s="1513">
        <f>Transmission!H18</f>
        <v>0</v>
      </c>
      <c r="J18" s="1513">
        <f>Transmission!I18</f>
        <v>0</v>
      </c>
      <c r="K18" s="1513">
        <f>Transmission!J18</f>
        <v>5.8449999999999998</v>
      </c>
      <c r="L18" s="1513">
        <f>Transmission!K18</f>
        <v>0.02</v>
      </c>
    </row>
    <row r="19" spans="3:12" ht="87" customHeight="1" thickBot="1">
      <c r="C19" s="1511">
        <v>14</v>
      </c>
      <c r="D19" s="1510" t="s">
        <v>2596</v>
      </c>
      <c r="E19" s="1515" t="e">
        <f>Transmission!D19</f>
        <v>#REF!</v>
      </c>
      <c r="F19" s="1515" t="e">
        <f>Transmission!E19</f>
        <v>#REF!</v>
      </c>
      <c r="G19" s="1515" t="e">
        <f>Transmission!F19</f>
        <v>#REF!</v>
      </c>
      <c r="H19" s="1515" t="e">
        <f>Transmission!G19</f>
        <v>#REF!</v>
      </c>
      <c r="I19" s="1515" t="e">
        <f>Transmission!H19</f>
        <v>#REF!</v>
      </c>
      <c r="J19" s="1515" t="e">
        <f>Transmission!I19</f>
        <v>#REF!</v>
      </c>
      <c r="K19" s="1515" t="e">
        <f>Transmission!J19</f>
        <v>#REF!</v>
      </c>
      <c r="L19" s="1515" t="e">
        <f>Transmission!K19</f>
        <v>#REF!</v>
      </c>
    </row>
    <row r="20" spans="3:12" ht="72.75" customHeight="1" thickBot="1">
      <c r="C20" s="1511">
        <v>15</v>
      </c>
      <c r="D20" s="1510" t="s">
        <v>2597</v>
      </c>
      <c r="E20" s="1515" t="e">
        <f>Transmission!D20</f>
        <v>#REF!</v>
      </c>
      <c r="F20" s="1515" t="e">
        <f>Transmission!E20</f>
        <v>#REF!</v>
      </c>
      <c r="G20" s="1513" t="e">
        <f>Transmission!F20</f>
        <v>#REF!</v>
      </c>
      <c r="H20" s="1513" t="e">
        <f>Transmission!G20</f>
        <v>#REF!</v>
      </c>
      <c r="I20" s="1513" t="e">
        <f>Transmission!H20</f>
        <v>#REF!</v>
      </c>
      <c r="J20" s="1513" t="e">
        <f>Transmission!I20</f>
        <v>#REF!</v>
      </c>
      <c r="K20" s="1513" t="e">
        <f>Transmission!J20</f>
        <v>#REF!</v>
      </c>
      <c r="L20" s="1513" t="e">
        <f>Transmission!K20</f>
        <v>#REF!</v>
      </c>
    </row>
    <row r="21" spans="3:12" ht="15.75" thickBot="1">
      <c r="C21" s="1511">
        <v>16</v>
      </c>
      <c r="D21" s="1510" t="s">
        <v>2542</v>
      </c>
      <c r="E21" s="1515" t="e">
        <f>Transmission!D21</f>
        <v>#REF!</v>
      </c>
      <c r="F21" s="1515" t="e">
        <f>Transmission!E21</f>
        <v>#REF!</v>
      </c>
      <c r="G21" s="1515" t="e">
        <f>Transmission!F21</f>
        <v>#REF!</v>
      </c>
      <c r="H21" s="1515" t="e">
        <f>Transmission!G21</f>
        <v>#REF!</v>
      </c>
      <c r="I21" s="1515" t="e">
        <f>Transmission!H21</f>
        <v>#REF!</v>
      </c>
      <c r="J21" s="1515" t="e">
        <f>Transmission!I21</f>
        <v>#REF!</v>
      </c>
      <c r="K21" s="1515" t="e">
        <f>Transmission!J21</f>
        <v>#REF!</v>
      </c>
      <c r="L21" s="1515" t="e">
        <f>Transmission!K21</f>
        <v>#REF!</v>
      </c>
    </row>
    <row r="23" spans="3:12" ht="15.75" thickBot="1"/>
    <row r="24" spans="3:12" ht="15.75" thickBot="1">
      <c r="C24" s="2345" t="s">
        <v>1003</v>
      </c>
      <c r="D24" s="2348" t="s">
        <v>282</v>
      </c>
      <c r="E24" s="2351" t="s">
        <v>2541</v>
      </c>
      <c r="F24" s="2339"/>
      <c r="G24" s="2339"/>
      <c r="H24" s="2340"/>
    </row>
    <row r="25" spans="3:12" ht="30" thickBot="1">
      <c r="C25" s="2346"/>
      <c r="D25" s="2349"/>
      <c r="E25" s="2341" t="s">
        <v>1752</v>
      </c>
      <c r="F25" s="2342"/>
      <c r="G25" s="2343"/>
      <c r="H25" s="1512" t="s">
        <v>2590</v>
      </c>
    </row>
    <row r="26" spans="3:12" ht="30" thickBot="1">
      <c r="C26" s="2347"/>
      <c r="D26" s="2350"/>
      <c r="E26" s="1512" t="s">
        <v>1035</v>
      </c>
      <c r="F26" s="1512" t="s">
        <v>1036</v>
      </c>
      <c r="G26" s="1512" t="s">
        <v>2508</v>
      </c>
      <c r="H26" s="1512" t="s">
        <v>1040</v>
      </c>
    </row>
    <row r="27" spans="3:12" ht="15.75" thickBot="1">
      <c r="C27" s="1504">
        <v>1</v>
      </c>
      <c r="D27" s="1503" t="s">
        <v>2744</v>
      </c>
      <c r="E27" s="1513" t="e">
        <f>Transmission!D26</f>
        <v>#REF!</v>
      </c>
      <c r="F27" s="1513" t="e">
        <f>Transmission!E26</f>
        <v>#REF!</v>
      </c>
      <c r="G27" s="1513" t="e">
        <f>Transmission!F26</f>
        <v>#REF!</v>
      </c>
      <c r="H27" s="1513" t="e">
        <f>Transmission!G26</f>
        <v>#REF!</v>
      </c>
    </row>
    <row r="28" spans="3:12" ht="15.75" thickBot="1">
      <c r="C28" s="1504">
        <v>2</v>
      </c>
      <c r="D28" s="1503" t="s">
        <v>2745</v>
      </c>
      <c r="E28" s="1513" t="e">
        <f>Transmission!D27</f>
        <v>#REF!</v>
      </c>
      <c r="F28" s="1513" t="e">
        <f>Transmission!E27</f>
        <v>#REF!</v>
      </c>
      <c r="G28" s="1513" t="e">
        <f>Transmission!F27</f>
        <v>#REF!</v>
      </c>
      <c r="H28" s="1513" t="e">
        <f>Transmission!G27</f>
        <v>#REF!</v>
      </c>
    </row>
    <row r="29" spans="3:12" ht="15.75" thickBot="1">
      <c r="C29" s="1504">
        <v>3</v>
      </c>
      <c r="D29" s="1503" t="s">
        <v>2746</v>
      </c>
      <c r="E29" s="1513" t="e">
        <f>Transmission!D28</f>
        <v>#REF!</v>
      </c>
      <c r="F29" s="1513" t="e">
        <f>Transmission!E28</f>
        <v>#REF!</v>
      </c>
      <c r="G29" s="1513" t="e">
        <f>Transmission!F28</f>
        <v>#REF!</v>
      </c>
      <c r="H29" s="1513" t="e">
        <f>Transmission!G28</f>
        <v>#REF!</v>
      </c>
    </row>
    <row r="30" spans="3:12" ht="15.75" thickBot="1">
      <c r="C30" s="1504">
        <v>4</v>
      </c>
      <c r="D30" s="1503" t="s">
        <v>384</v>
      </c>
      <c r="E30" s="1513" t="e">
        <f>Transmission!D29</f>
        <v>#REF!</v>
      </c>
      <c r="F30" s="1513" t="e">
        <f>Transmission!E29</f>
        <v>#REF!</v>
      </c>
      <c r="G30" s="1513" t="e">
        <f>Transmission!F29</f>
        <v>#REF!</v>
      </c>
      <c r="H30" s="1513" t="e">
        <f>Transmission!G29</f>
        <v>#REF!</v>
      </c>
    </row>
    <row r="31" spans="3:12" ht="15.75" thickBot="1">
      <c r="C31" s="1504">
        <v>5</v>
      </c>
      <c r="D31" s="1503" t="s">
        <v>385</v>
      </c>
      <c r="E31" s="1513" t="e">
        <f>Transmission!D30</f>
        <v>#REF!</v>
      </c>
      <c r="F31" s="1513" t="e">
        <f>Transmission!E30</f>
        <v>#REF!</v>
      </c>
      <c r="G31" s="1513" t="e">
        <f>Transmission!F30</f>
        <v>#REF!</v>
      </c>
      <c r="H31" s="1513" t="e">
        <f>Transmission!G30</f>
        <v>#REF!</v>
      </c>
    </row>
    <row r="32" spans="3:12" ht="30.75" thickBot="1">
      <c r="C32" s="1504">
        <v>6</v>
      </c>
      <c r="D32" s="1503" t="s">
        <v>340</v>
      </c>
      <c r="E32" s="1513" t="e">
        <f>Transmission!D31</f>
        <v>#REF!</v>
      </c>
      <c r="F32" s="1513" t="e">
        <f>Transmission!E31</f>
        <v>#REF!</v>
      </c>
      <c r="G32" s="1513" t="e">
        <f>Transmission!F31</f>
        <v>#REF!</v>
      </c>
      <c r="H32" s="1513" t="e">
        <f>Transmission!G31</f>
        <v>#REF!</v>
      </c>
    </row>
    <row r="33" spans="3:9" ht="15.75" thickBot="1">
      <c r="C33" s="1504">
        <v>7</v>
      </c>
      <c r="D33" s="1503" t="s">
        <v>196</v>
      </c>
      <c r="E33" s="1513" t="e">
        <f>Transmission!D32</f>
        <v>#REF!</v>
      </c>
      <c r="F33" s="1513" t="e">
        <f>Transmission!E32</f>
        <v>#REF!</v>
      </c>
      <c r="G33" s="1513" t="e">
        <f>Transmission!F32</f>
        <v>#REF!</v>
      </c>
      <c r="H33" s="1513" t="e">
        <f>Transmission!G32</f>
        <v>#REF!</v>
      </c>
    </row>
    <row r="34" spans="3:9" ht="15.75" thickBot="1">
      <c r="C34" s="1504">
        <v>8</v>
      </c>
      <c r="D34" s="1503" t="s">
        <v>2530</v>
      </c>
      <c r="E34" s="1513" t="e">
        <f>Transmission!D33</f>
        <v>#REF!</v>
      </c>
      <c r="F34" s="1513" t="e">
        <f>Transmission!E33</f>
        <v>#REF!</v>
      </c>
      <c r="G34" s="1513" t="e">
        <f>Transmission!F33</f>
        <v>#REF!</v>
      </c>
      <c r="H34" s="1513" t="e">
        <f>Transmission!G33</f>
        <v>#REF!</v>
      </c>
    </row>
    <row r="35" spans="3:9" ht="30.75" thickBot="1">
      <c r="C35" s="1504">
        <v>9</v>
      </c>
      <c r="D35" s="1503" t="s">
        <v>2545</v>
      </c>
      <c r="E35" s="1513" t="e">
        <f>Transmission!D34</f>
        <v>#REF!</v>
      </c>
      <c r="F35" s="1513" t="e">
        <f>Transmission!E34</f>
        <v>#REF!</v>
      </c>
      <c r="G35" s="1513" t="e">
        <f>Transmission!F34</f>
        <v>#REF!</v>
      </c>
      <c r="H35" s="1513" t="e">
        <f>Transmission!G34</f>
        <v>#REF!</v>
      </c>
    </row>
    <row r="36" spans="3:9" ht="30" thickBot="1">
      <c r="C36" s="1511">
        <v>10</v>
      </c>
      <c r="D36" s="1510" t="s">
        <v>386</v>
      </c>
      <c r="E36" s="1515" t="e">
        <f>Transmission!D35</f>
        <v>#REF!</v>
      </c>
      <c r="F36" s="1515" t="e">
        <f>Transmission!E35</f>
        <v>#REF!</v>
      </c>
      <c r="G36" s="1515" t="e">
        <f>Transmission!F35</f>
        <v>#REF!</v>
      </c>
      <c r="H36" s="1515" t="e">
        <f>Transmission!G35</f>
        <v>#REF!</v>
      </c>
    </row>
    <row r="37" spans="3:9" ht="30.75" thickBot="1">
      <c r="C37" s="1504">
        <v>11</v>
      </c>
      <c r="D37" s="1503" t="s">
        <v>391</v>
      </c>
      <c r="E37" s="1513" t="e">
        <f>Transmission!D36</f>
        <v>#REF!</v>
      </c>
      <c r="F37" s="1513" t="e">
        <f>Transmission!E36</f>
        <v>#REF!</v>
      </c>
      <c r="G37" s="1513" t="e">
        <f>Transmission!F36</f>
        <v>#REF!</v>
      </c>
      <c r="H37" s="1513" t="e">
        <f>Transmission!G36</f>
        <v>#REF!</v>
      </c>
    </row>
    <row r="38" spans="3:9" ht="15.75" hidden="1" thickBot="1">
      <c r="C38" s="1504">
        <v>12</v>
      </c>
      <c r="D38" s="1503" t="s">
        <v>2536</v>
      </c>
      <c r="E38" s="1513" t="e">
        <f>Transmission!D37</f>
        <v>#REF!</v>
      </c>
      <c r="F38" s="1513" t="e">
        <f>Transmission!E37</f>
        <v>#REF!</v>
      </c>
      <c r="G38" s="1513" t="e">
        <f>Transmission!F37</f>
        <v>#REF!</v>
      </c>
      <c r="H38" s="1513" t="e">
        <f>Transmission!G37</f>
        <v>#REF!</v>
      </c>
    </row>
    <row r="39" spans="3:9" ht="30" thickBot="1">
      <c r="C39" s="1504">
        <v>12</v>
      </c>
      <c r="D39" s="1510" t="s">
        <v>2543</v>
      </c>
      <c r="E39" s="1515" t="e">
        <f>Transmission!D38</f>
        <v>#REF!</v>
      </c>
      <c r="F39" s="1515" t="e">
        <f>Transmission!E38</f>
        <v>#REF!</v>
      </c>
      <c r="G39" s="1515" t="e">
        <f>Transmission!F38</f>
        <v>#REF!</v>
      </c>
      <c r="H39" s="1515" t="e">
        <f>Transmission!G38</f>
        <v>#REF!</v>
      </c>
    </row>
    <row r="40" spans="3:9" ht="30.75" thickBot="1">
      <c r="C40" s="1504">
        <v>13</v>
      </c>
      <c r="D40" s="1503" t="s">
        <v>2531</v>
      </c>
      <c r="E40" s="1513" t="e">
        <f>Transmission!D39</f>
        <v>#REF!</v>
      </c>
      <c r="F40" s="1513" t="e">
        <f>Transmission!E39</f>
        <v>#REF!</v>
      </c>
      <c r="G40" s="1513" t="e">
        <f>Transmission!F39</f>
        <v>#REF!</v>
      </c>
      <c r="H40" s="1513" t="e">
        <f>Transmission!G39</f>
        <v>#REF!</v>
      </c>
    </row>
    <row r="41" spans="3:9" ht="44.25" thickBot="1">
      <c r="C41" s="1511">
        <v>14</v>
      </c>
      <c r="D41" s="1510" t="s">
        <v>2596</v>
      </c>
      <c r="E41" s="1515" t="e">
        <f>Transmission!D40</f>
        <v>#REF!</v>
      </c>
      <c r="F41" s="1515" t="e">
        <f>Transmission!E40</f>
        <v>#REF!</v>
      </c>
      <c r="G41" s="1515" t="e">
        <f>Transmission!F40</f>
        <v>#REF!</v>
      </c>
      <c r="H41" s="1515" t="e">
        <f>Transmission!G40</f>
        <v>#REF!</v>
      </c>
    </row>
    <row r="42" spans="3:9" ht="30" thickBot="1">
      <c r="C42" s="1511">
        <v>15</v>
      </c>
      <c r="D42" s="1510" t="s">
        <v>2597</v>
      </c>
      <c r="E42" s="1513">
        <f>Transmission!D41</f>
        <v>0</v>
      </c>
      <c r="F42" s="1513" t="e">
        <f>Transmission!E41</f>
        <v>#REF!</v>
      </c>
      <c r="G42" s="1513" t="e">
        <f>Transmission!F41</f>
        <v>#REF!</v>
      </c>
      <c r="H42" s="1516" t="e">
        <f>Transmission!G41</f>
        <v>#REF!</v>
      </c>
    </row>
    <row r="43" spans="3:9" ht="15.75" thickBot="1">
      <c r="C43" s="1511">
        <v>16</v>
      </c>
      <c r="D43" s="1510" t="s">
        <v>2542</v>
      </c>
      <c r="E43" s="1515">
        <f>Transmission!D42</f>
        <v>0</v>
      </c>
      <c r="F43" s="1515" t="e">
        <f>Transmission!E42</f>
        <v>#REF!</v>
      </c>
      <c r="G43" s="1515" t="e">
        <f>Transmission!F42</f>
        <v>#REF!</v>
      </c>
      <c r="H43" s="1517" t="e">
        <f>Transmission!G42</f>
        <v>#REF!</v>
      </c>
    </row>
    <row r="45" spans="3:9" ht="15.75" thickBot="1"/>
    <row r="46" spans="3:9" ht="58.5" thickBot="1">
      <c r="C46" s="1509" t="s">
        <v>1003</v>
      </c>
      <c r="D46" s="1508" t="s">
        <v>331</v>
      </c>
      <c r="E46" s="1507" t="s">
        <v>1966</v>
      </c>
      <c r="F46" s="1507" t="s">
        <v>2481</v>
      </c>
      <c r="G46" s="1507" t="s">
        <v>2600</v>
      </c>
    </row>
    <row r="47" spans="3:9" ht="15.75" thickBot="1">
      <c r="C47" s="1504">
        <v>1</v>
      </c>
      <c r="D47" s="1506" t="s">
        <v>160</v>
      </c>
      <c r="E47" s="1506" t="s">
        <v>2487</v>
      </c>
      <c r="F47" s="1505" t="s">
        <v>335</v>
      </c>
      <c r="G47" s="1501"/>
    </row>
    <row r="48" spans="3:9" ht="30.75" thickBot="1">
      <c r="C48" s="1504">
        <v>2</v>
      </c>
      <c r="D48" s="1506" t="s">
        <v>161</v>
      </c>
      <c r="E48" s="1503" t="s">
        <v>2599</v>
      </c>
      <c r="F48" s="1502" t="s">
        <v>2496</v>
      </c>
      <c r="G48" s="1501"/>
      <c r="I48" s="1500" t="s">
        <v>2598</v>
      </c>
    </row>
    <row r="49" spans="3:7" ht="15.75" thickBot="1">
      <c r="C49" s="1504">
        <v>3</v>
      </c>
      <c r="D49" s="1506" t="s">
        <v>2489</v>
      </c>
      <c r="E49" s="1506" t="s">
        <v>184</v>
      </c>
      <c r="F49" s="1505" t="s">
        <v>339</v>
      </c>
      <c r="G49" s="1501"/>
    </row>
    <row r="50" spans="3:7" ht="30.75" thickBot="1">
      <c r="C50" s="1504">
        <v>4</v>
      </c>
      <c r="D50" s="1503" t="s">
        <v>2490</v>
      </c>
      <c r="E50" s="1503" t="s">
        <v>2491</v>
      </c>
      <c r="F50" s="1502" t="s">
        <v>2497</v>
      </c>
      <c r="G50" s="1501"/>
    </row>
    <row r="51" spans="3:7" ht="30.75" thickBot="1">
      <c r="C51" s="1504">
        <v>5</v>
      </c>
      <c r="D51" s="1503" t="s">
        <v>2490</v>
      </c>
      <c r="E51" s="1503" t="s">
        <v>2492</v>
      </c>
      <c r="F51" s="1502" t="s">
        <v>2498</v>
      </c>
      <c r="G51" s="1501"/>
    </row>
  </sheetData>
  <mergeCells count="10">
    <mergeCell ref="I2:L2"/>
    <mergeCell ref="E3:G3"/>
    <mergeCell ref="I3:K3"/>
    <mergeCell ref="C24:C26"/>
    <mergeCell ref="D24:D26"/>
    <mergeCell ref="E24:H24"/>
    <mergeCell ref="E25:G25"/>
    <mergeCell ref="C2:C4"/>
    <mergeCell ref="D2:D4"/>
    <mergeCell ref="E2:H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AB14"/>
  <sheetViews>
    <sheetView view="pageBreakPreview" zoomScale="60" zoomScaleNormal="69" workbookViewId="0">
      <selection activeCell="C12" sqref="C12"/>
    </sheetView>
  </sheetViews>
  <sheetFormatPr defaultRowHeight="15.75"/>
  <cols>
    <col min="1" max="1" width="9.140625" style="1"/>
    <col min="2" max="2" width="8.7109375" style="1" customWidth="1"/>
    <col min="3" max="3" width="16.5703125" style="1" bestFit="1" customWidth="1"/>
    <col min="4" max="6" width="11.28515625" style="1" hidden="1" customWidth="1"/>
    <col min="7" max="7" width="26.85546875" style="1" hidden="1" customWidth="1"/>
    <col min="8" max="8" width="13.42578125" style="1" hidden="1" customWidth="1"/>
    <col min="9" max="9" width="16.28515625" style="1" hidden="1" customWidth="1"/>
    <col min="10" max="10" width="13.85546875" style="1" hidden="1" customWidth="1"/>
    <col min="11" max="11" width="28.7109375" style="1" hidden="1" customWidth="1"/>
    <col min="12" max="12" width="13.42578125" style="1" hidden="1" customWidth="1"/>
    <col min="13" max="13" width="16.42578125" style="1" hidden="1" customWidth="1"/>
    <col min="14" max="14" width="17.140625" style="1" hidden="1" customWidth="1"/>
    <col min="15" max="15" width="20.5703125" style="1" hidden="1" customWidth="1"/>
    <col min="16" max="16" width="26.140625" style="1" customWidth="1"/>
    <col min="17" max="17" width="16.42578125" style="1" hidden="1" customWidth="1"/>
    <col min="18" max="19" width="0" style="1" hidden="1" customWidth="1"/>
    <col min="20" max="20" width="25.85546875" style="1" customWidth="1"/>
    <col min="21" max="23" width="0" style="1" hidden="1" customWidth="1"/>
    <col min="24" max="24" width="26.28515625" style="1" customWidth="1"/>
    <col min="25" max="27" width="0" style="1" hidden="1" customWidth="1"/>
    <col min="28" max="28" width="24.85546875" style="1" customWidth="1"/>
    <col min="29" max="257" width="9.140625" style="1"/>
    <col min="258" max="258" width="6.85546875" style="1" customWidth="1"/>
    <col min="259" max="259" width="13.140625" style="1" bestFit="1" customWidth="1"/>
    <col min="260" max="262" width="0" style="1" hidden="1" customWidth="1"/>
    <col min="263" max="263" width="26.85546875" style="1" customWidth="1"/>
    <col min="264" max="266" width="0" style="1" hidden="1" customWidth="1"/>
    <col min="267" max="267" width="28.7109375" style="1" customWidth="1"/>
    <col min="268" max="271" width="0" style="1" hidden="1" customWidth="1"/>
    <col min="272" max="272" width="25" style="1" customWidth="1"/>
    <col min="273" max="275" width="0" style="1" hidden="1" customWidth="1"/>
    <col min="276" max="276" width="21" style="1" customWidth="1"/>
    <col min="277" max="279" width="0" style="1" hidden="1" customWidth="1"/>
    <col min="280" max="280" width="25.85546875" style="1" customWidth="1"/>
    <col min="281" max="283" width="0" style="1" hidden="1" customWidth="1"/>
    <col min="284" max="284" width="23" style="1" customWidth="1"/>
    <col min="285" max="513" width="9.140625" style="1"/>
    <col min="514" max="514" width="6.85546875" style="1" customWidth="1"/>
    <col min="515" max="515" width="13.140625" style="1" bestFit="1" customWidth="1"/>
    <col min="516" max="518" width="0" style="1" hidden="1" customWidth="1"/>
    <col min="519" max="519" width="26.85546875" style="1" customWidth="1"/>
    <col min="520" max="522" width="0" style="1" hidden="1" customWidth="1"/>
    <col min="523" max="523" width="28.7109375" style="1" customWidth="1"/>
    <col min="524" max="527" width="0" style="1" hidden="1" customWidth="1"/>
    <col min="528" max="528" width="25" style="1" customWidth="1"/>
    <col min="529" max="531" width="0" style="1" hidden="1" customWidth="1"/>
    <col min="532" max="532" width="21" style="1" customWidth="1"/>
    <col min="533" max="535" width="0" style="1" hidden="1" customWidth="1"/>
    <col min="536" max="536" width="25.85546875" style="1" customWidth="1"/>
    <col min="537" max="539" width="0" style="1" hidden="1" customWidth="1"/>
    <col min="540" max="540" width="23" style="1" customWidth="1"/>
    <col min="541" max="769" width="9.140625" style="1"/>
    <col min="770" max="770" width="6.85546875" style="1" customWidth="1"/>
    <col min="771" max="771" width="13.140625" style="1" bestFit="1" customWidth="1"/>
    <col min="772" max="774" width="0" style="1" hidden="1" customWidth="1"/>
    <col min="775" max="775" width="26.85546875" style="1" customWidth="1"/>
    <col min="776" max="778" width="0" style="1" hidden="1" customWidth="1"/>
    <col min="779" max="779" width="28.7109375" style="1" customWidth="1"/>
    <col min="780" max="783" width="0" style="1" hidden="1" customWidth="1"/>
    <col min="784" max="784" width="25" style="1" customWidth="1"/>
    <col min="785" max="787" width="0" style="1" hidden="1" customWidth="1"/>
    <col min="788" max="788" width="21" style="1" customWidth="1"/>
    <col min="789" max="791" width="0" style="1" hidden="1" customWidth="1"/>
    <col min="792" max="792" width="25.85546875" style="1" customWidth="1"/>
    <col min="793" max="795" width="0" style="1" hidden="1" customWidth="1"/>
    <col min="796" max="796" width="23" style="1" customWidth="1"/>
    <col min="797" max="1025" width="9.140625" style="1"/>
    <col min="1026" max="1026" width="6.85546875" style="1" customWidth="1"/>
    <col min="1027" max="1027" width="13.140625" style="1" bestFit="1" customWidth="1"/>
    <col min="1028" max="1030" width="0" style="1" hidden="1" customWidth="1"/>
    <col min="1031" max="1031" width="26.85546875" style="1" customWidth="1"/>
    <col min="1032" max="1034" width="0" style="1" hidden="1" customWidth="1"/>
    <col min="1035" max="1035" width="28.7109375" style="1" customWidth="1"/>
    <col min="1036" max="1039" width="0" style="1" hidden="1" customWidth="1"/>
    <col min="1040" max="1040" width="25" style="1" customWidth="1"/>
    <col min="1041" max="1043" width="0" style="1" hidden="1" customWidth="1"/>
    <col min="1044" max="1044" width="21" style="1" customWidth="1"/>
    <col min="1045" max="1047" width="0" style="1" hidden="1" customWidth="1"/>
    <col min="1048" max="1048" width="25.85546875" style="1" customWidth="1"/>
    <col min="1049" max="1051" width="0" style="1" hidden="1" customWidth="1"/>
    <col min="1052" max="1052" width="23" style="1" customWidth="1"/>
    <col min="1053" max="1281" width="9.140625" style="1"/>
    <col min="1282" max="1282" width="6.85546875" style="1" customWidth="1"/>
    <col min="1283" max="1283" width="13.140625" style="1" bestFit="1" customWidth="1"/>
    <col min="1284" max="1286" width="0" style="1" hidden="1" customWidth="1"/>
    <col min="1287" max="1287" width="26.85546875" style="1" customWidth="1"/>
    <col min="1288" max="1290" width="0" style="1" hidden="1" customWidth="1"/>
    <col min="1291" max="1291" width="28.7109375" style="1" customWidth="1"/>
    <col min="1292" max="1295" width="0" style="1" hidden="1" customWidth="1"/>
    <col min="1296" max="1296" width="25" style="1" customWidth="1"/>
    <col min="1297" max="1299" width="0" style="1" hidden="1" customWidth="1"/>
    <col min="1300" max="1300" width="21" style="1" customWidth="1"/>
    <col min="1301" max="1303" width="0" style="1" hidden="1" customWidth="1"/>
    <col min="1304" max="1304" width="25.85546875" style="1" customWidth="1"/>
    <col min="1305" max="1307" width="0" style="1" hidden="1" customWidth="1"/>
    <col min="1308" max="1308" width="23" style="1" customWidth="1"/>
    <col min="1309" max="1537" width="9.140625" style="1"/>
    <col min="1538" max="1538" width="6.85546875" style="1" customWidth="1"/>
    <col min="1539" max="1539" width="13.140625" style="1" bestFit="1" customWidth="1"/>
    <col min="1540" max="1542" width="0" style="1" hidden="1" customWidth="1"/>
    <col min="1543" max="1543" width="26.85546875" style="1" customWidth="1"/>
    <col min="1544" max="1546" width="0" style="1" hidden="1" customWidth="1"/>
    <col min="1547" max="1547" width="28.7109375" style="1" customWidth="1"/>
    <col min="1548" max="1551" width="0" style="1" hidden="1" customWidth="1"/>
    <col min="1552" max="1552" width="25" style="1" customWidth="1"/>
    <col min="1553" max="1555" width="0" style="1" hidden="1" customWidth="1"/>
    <col min="1556" max="1556" width="21" style="1" customWidth="1"/>
    <col min="1557" max="1559" width="0" style="1" hidden="1" customWidth="1"/>
    <col min="1560" max="1560" width="25.85546875" style="1" customWidth="1"/>
    <col min="1561" max="1563" width="0" style="1" hidden="1" customWidth="1"/>
    <col min="1564" max="1564" width="23" style="1" customWidth="1"/>
    <col min="1565" max="1793" width="9.140625" style="1"/>
    <col min="1794" max="1794" width="6.85546875" style="1" customWidth="1"/>
    <col min="1795" max="1795" width="13.140625" style="1" bestFit="1" customWidth="1"/>
    <col min="1796" max="1798" width="0" style="1" hidden="1" customWidth="1"/>
    <col min="1799" max="1799" width="26.85546875" style="1" customWidth="1"/>
    <col min="1800" max="1802" width="0" style="1" hidden="1" customWidth="1"/>
    <col min="1803" max="1803" width="28.7109375" style="1" customWidth="1"/>
    <col min="1804" max="1807" width="0" style="1" hidden="1" customWidth="1"/>
    <col min="1808" max="1808" width="25" style="1" customWidth="1"/>
    <col min="1809" max="1811" width="0" style="1" hidden="1" customWidth="1"/>
    <col min="1812" max="1812" width="21" style="1" customWidth="1"/>
    <col min="1813" max="1815" width="0" style="1" hidden="1" customWidth="1"/>
    <col min="1816" max="1816" width="25.85546875" style="1" customWidth="1"/>
    <col min="1817" max="1819" width="0" style="1" hidden="1" customWidth="1"/>
    <col min="1820" max="1820" width="23" style="1" customWidth="1"/>
    <col min="1821" max="2049" width="9.140625" style="1"/>
    <col min="2050" max="2050" width="6.85546875" style="1" customWidth="1"/>
    <col min="2051" max="2051" width="13.140625" style="1" bestFit="1" customWidth="1"/>
    <col min="2052" max="2054" width="0" style="1" hidden="1" customWidth="1"/>
    <col min="2055" max="2055" width="26.85546875" style="1" customWidth="1"/>
    <col min="2056" max="2058" width="0" style="1" hidden="1" customWidth="1"/>
    <col min="2059" max="2059" width="28.7109375" style="1" customWidth="1"/>
    <col min="2060" max="2063" width="0" style="1" hidden="1" customWidth="1"/>
    <col min="2064" max="2064" width="25" style="1" customWidth="1"/>
    <col min="2065" max="2067" width="0" style="1" hidden="1" customWidth="1"/>
    <col min="2068" max="2068" width="21" style="1" customWidth="1"/>
    <col min="2069" max="2071" width="0" style="1" hidden="1" customWidth="1"/>
    <col min="2072" max="2072" width="25.85546875" style="1" customWidth="1"/>
    <col min="2073" max="2075" width="0" style="1" hidden="1" customWidth="1"/>
    <col min="2076" max="2076" width="23" style="1" customWidth="1"/>
    <col min="2077" max="2305" width="9.140625" style="1"/>
    <col min="2306" max="2306" width="6.85546875" style="1" customWidth="1"/>
    <col min="2307" max="2307" width="13.140625" style="1" bestFit="1" customWidth="1"/>
    <col min="2308" max="2310" width="0" style="1" hidden="1" customWidth="1"/>
    <col min="2311" max="2311" width="26.85546875" style="1" customWidth="1"/>
    <col min="2312" max="2314" width="0" style="1" hidden="1" customWidth="1"/>
    <col min="2315" max="2315" width="28.7109375" style="1" customWidth="1"/>
    <col min="2316" max="2319" width="0" style="1" hidden="1" customWidth="1"/>
    <col min="2320" max="2320" width="25" style="1" customWidth="1"/>
    <col min="2321" max="2323" width="0" style="1" hidden="1" customWidth="1"/>
    <col min="2324" max="2324" width="21" style="1" customWidth="1"/>
    <col min="2325" max="2327" width="0" style="1" hidden="1" customWidth="1"/>
    <col min="2328" max="2328" width="25.85546875" style="1" customWidth="1"/>
    <col min="2329" max="2331" width="0" style="1" hidden="1" customWidth="1"/>
    <col min="2332" max="2332" width="23" style="1" customWidth="1"/>
    <col min="2333" max="2561" width="9.140625" style="1"/>
    <col min="2562" max="2562" width="6.85546875" style="1" customWidth="1"/>
    <col min="2563" max="2563" width="13.140625" style="1" bestFit="1" customWidth="1"/>
    <col min="2564" max="2566" width="0" style="1" hidden="1" customWidth="1"/>
    <col min="2567" max="2567" width="26.85546875" style="1" customWidth="1"/>
    <col min="2568" max="2570" width="0" style="1" hidden="1" customWidth="1"/>
    <col min="2571" max="2571" width="28.7109375" style="1" customWidth="1"/>
    <col min="2572" max="2575" width="0" style="1" hidden="1" customWidth="1"/>
    <col min="2576" max="2576" width="25" style="1" customWidth="1"/>
    <col min="2577" max="2579" width="0" style="1" hidden="1" customWidth="1"/>
    <col min="2580" max="2580" width="21" style="1" customWidth="1"/>
    <col min="2581" max="2583" width="0" style="1" hidden="1" customWidth="1"/>
    <col min="2584" max="2584" width="25.85546875" style="1" customWidth="1"/>
    <col min="2585" max="2587" width="0" style="1" hidden="1" customWidth="1"/>
    <col min="2588" max="2588" width="23" style="1" customWidth="1"/>
    <col min="2589" max="2817" width="9.140625" style="1"/>
    <col min="2818" max="2818" width="6.85546875" style="1" customWidth="1"/>
    <col min="2819" max="2819" width="13.140625" style="1" bestFit="1" customWidth="1"/>
    <col min="2820" max="2822" width="0" style="1" hidden="1" customWidth="1"/>
    <col min="2823" max="2823" width="26.85546875" style="1" customWidth="1"/>
    <col min="2824" max="2826" width="0" style="1" hidden="1" customWidth="1"/>
    <col min="2827" max="2827" width="28.7109375" style="1" customWidth="1"/>
    <col min="2828" max="2831" width="0" style="1" hidden="1" customWidth="1"/>
    <col min="2832" max="2832" width="25" style="1" customWidth="1"/>
    <col min="2833" max="2835" width="0" style="1" hidden="1" customWidth="1"/>
    <col min="2836" max="2836" width="21" style="1" customWidth="1"/>
    <col min="2837" max="2839" width="0" style="1" hidden="1" customWidth="1"/>
    <col min="2840" max="2840" width="25.85546875" style="1" customWidth="1"/>
    <col min="2841" max="2843" width="0" style="1" hidden="1" customWidth="1"/>
    <col min="2844" max="2844" width="23" style="1" customWidth="1"/>
    <col min="2845" max="3073" width="9.140625" style="1"/>
    <col min="3074" max="3074" width="6.85546875" style="1" customWidth="1"/>
    <col min="3075" max="3075" width="13.140625" style="1" bestFit="1" customWidth="1"/>
    <col min="3076" max="3078" width="0" style="1" hidden="1" customWidth="1"/>
    <col min="3079" max="3079" width="26.85546875" style="1" customWidth="1"/>
    <col min="3080" max="3082" width="0" style="1" hidden="1" customWidth="1"/>
    <col min="3083" max="3083" width="28.7109375" style="1" customWidth="1"/>
    <col min="3084" max="3087" width="0" style="1" hidden="1" customWidth="1"/>
    <col min="3088" max="3088" width="25" style="1" customWidth="1"/>
    <col min="3089" max="3091" width="0" style="1" hidden="1" customWidth="1"/>
    <col min="3092" max="3092" width="21" style="1" customWidth="1"/>
    <col min="3093" max="3095" width="0" style="1" hidden="1" customWidth="1"/>
    <col min="3096" max="3096" width="25.85546875" style="1" customWidth="1"/>
    <col min="3097" max="3099" width="0" style="1" hidden="1" customWidth="1"/>
    <col min="3100" max="3100" width="23" style="1" customWidth="1"/>
    <col min="3101" max="3329" width="9.140625" style="1"/>
    <col min="3330" max="3330" width="6.85546875" style="1" customWidth="1"/>
    <col min="3331" max="3331" width="13.140625" style="1" bestFit="1" customWidth="1"/>
    <col min="3332" max="3334" width="0" style="1" hidden="1" customWidth="1"/>
    <col min="3335" max="3335" width="26.85546875" style="1" customWidth="1"/>
    <col min="3336" max="3338" width="0" style="1" hidden="1" customWidth="1"/>
    <col min="3339" max="3339" width="28.7109375" style="1" customWidth="1"/>
    <col min="3340" max="3343" width="0" style="1" hidden="1" customWidth="1"/>
    <col min="3344" max="3344" width="25" style="1" customWidth="1"/>
    <col min="3345" max="3347" width="0" style="1" hidden="1" customWidth="1"/>
    <col min="3348" max="3348" width="21" style="1" customWidth="1"/>
    <col min="3349" max="3351" width="0" style="1" hidden="1" customWidth="1"/>
    <col min="3352" max="3352" width="25.85546875" style="1" customWidth="1"/>
    <col min="3353" max="3355" width="0" style="1" hidden="1" customWidth="1"/>
    <col min="3356" max="3356" width="23" style="1" customWidth="1"/>
    <col min="3357" max="3585" width="9.140625" style="1"/>
    <col min="3586" max="3586" width="6.85546875" style="1" customWidth="1"/>
    <col min="3587" max="3587" width="13.140625" style="1" bestFit="1" customWidth="1"/>
    <col min="3588" max="3590" width="0" style="1" hidden="1" customWidth="1"/>
    <col min="3591" max="3591" width="26.85546875" style="1" customWidth="1"/>
    <col min="3592" max="3594" width="0" style="1" hidden="1" customWidth="1"/>
    <col min="3595" max="3595" width="28.7109375" style="1" customWidth="1"/>
    <col min="3596" max="3599" width="0" style="1" hidden="1" customWidth="1"/>
    <col min="3600" max="3600" width="25" style="1" customWidth="1"/>
    <col min="3601" max="3603" width="0" style="1" hidden="1" customWidth="1"/>
    <col min="3604" max="3604" width="21" style="1" customWidth="1"/>
    <col min="3605" max="3607" width="0" style="1" hidden="1" customWidth="1"/>
    <col min="3608" max="3608" width="25.85546875" style="1" customWidth="1"/>
    <col min="3609" max="3611" width="0" style="1" hidden="1" customWidth="1"/>
    <col min="3612" max="3612" width="23" style="1" customWidth="1"/>
    <col min="3613" max="3841" width="9.140625" style="1"/>
    <col min="3842" max="3842" width="6.85546875" style="1" customWidth="1"/>
    <col min="3843" max="3843" width="13.140625" style="1" bestFit="1" customWidth="1"/>
    <col min="3844" max="3846" width="0" style="1" hidden="1" customWidth="1"/>
    <col min="3847" max="3847" width="26.85546875" style="1" customWidth="1"/>
    <col min="3848" max="3850" width="0" style="1" hidden="1" customWidth="1"/>
    <col min="3851" max="3851" width="28.7109375" style="1" customWidth="1"/>
    <col min="3852" max="3855" width="0" style="1" hidden="1" customWidth="1"/>
    <col min="3856" max="3856" width="25" style="1" customWidth="1"/>
    <col min="3857" max="3859" width="0" style="1" hidden="1" customWidth="1"/>
    <col min="3860" max="3860" width="21" style="1" customWidth="1"/>
    <col min="3861" max="3863" width="0" style="1" hidden="1" customWidth="1"/>
    <col min="3864" max="3864" width="25.85546875" style="1" customWidth="1"/>
    <col min="3865" max="3867" width="0" style="1" hidden="1" customWidth="1"/>
    <col min="3868" max="3868" width="23" style="1" customWidth="1"/>
    <col min="3869" max="4097" width="9.140625" style="1"/>
    <col min="4098" max="4098" width="6.85546875" style="1" customWidth="1"/>
    <col min="4099" max="4099" width="13.140625" style="1" bestFit="1" customWidth="1"/>
    <col min="4100" max="4102" width="0" style="1" hidden="1" customWidth="1"/>
    <col min="4103" max="4103" width="26.85546875" style="1" customWidth="1"/>
    <col min="4104" max="4106" width="0" style="1" hidden="1" customWidth="1"/>
    <col min="4107" max="4107" width="28.7109375" style="1" customWidth="1"/>
    <col min="4108" max="4111" width="0" style="1" hidden="1" customWidth="1"/>
    <col min="4112" max="4112" width="25" style="1" customWidth="1"/>
    <col min="4113" max="4115" width="0" style="1" hidden="1" customWidth="1"/>
    <col min="4116" max="4116" width="21" style="1" customWidth="1"/>
    <col min="4117" max="4119" width="0" style="1" hidden="1" customWidth="1"/>
    <col min="4120" max="4120" width="25.85546875" style="1" customWidth="1"/>
    <col min="4121" max="4123" width="0" style="1" hidden="1" customWidth="1"/>
    <col min="4124" max="4124" width="23" style="1" customWidth="1"/>
    <col min="4125" max="4353" width="9.140625" style="1"/>
    <col min="4354" max="4354" width="6.85546875" style="1" customWidth="1"/>
    <col min="4355" max="4355" width="13.140625" style="1" bestFit="1" customWidth="1"/>
    <col min="4356" max="4358" width="0" style="1" hidden="1" customWidth="1"/>
    <col min="4359" max="4359" width="26.85546875" style="1" customWidth="1"/>
    <col min="4360" max="4362" width="0" style="1" hidden="1" customWidth="1"/>
    <col min="4363" max="4363" width="28.7109375" style="1" customWidth="1"/>
    <col min="4364" max="4367" width="0" style="1" hidden="1" customWidth="1"/>
    <col min="4368" max="4368" width="25" style="1" customWidth="1"/>
    <col min="4369" max="4371" width="0" style="1" hidden="1" customWidth="1"/>
    <col min="4372" max="4372" width="21" style="1" customWidth="1"/>
    <col min="4373" max="4375" width="0" style="1" hidden="1" customWidth="1"/>
    <col min="4376" max="4376" width="25.85546875" style="1" customWidth="1"/>
    <col min="4377" max="4379" width="0" style="1" hidden="1" customWidth="1"/>
    <col min="4380" max="4380" width="23" style="1" customWidth="1"/>
    <col min="4381" max="4609" width="9.140625" style="1"/>
    <col min="4610" max="4610" width="6.85546875" style="1" customWidth="1"/>
    <col min="4611" max="4611" width="13.140625" style="1" bestFit="1" customWidth="1"/>
    <col min="4612" max="4614" width="0" style="1" hidden="1" customWidth="1"/>
    <col min="4615" max="4615" width="26.85546875" style="1" customWidth="1"/>
    <col min="4616" max="4618" width="0" style="1" hidden="1" customWidth="1"/>
    <col min="4619" max="4619" width="28.7109375" style="1" customWidth="1"/>
    <col min="4620" max="4623" width="0" style="1" hidden="1" customWidth="1"/>
    <col min="4624" max="4624" width="25" style="1" customWidth="1"/>
    <col min="4625" max="4627" width="0" style="1" hidden="1" customWidth="1"/>
    <col min="4628" max="4628" width="21" style="1" customWidth="1"/>
    <col min="4629" max="4631" width="0" style="1" hidden="1" customWidth="1"/>
    <col min="4632" max="4632" width="25.85546875" style="1" customWidth="1"/>
    <col min="4633" max="4635" width="0" style="1" hidden="1" customWidth="1"/>
    <col min="4636" max="4636" width="23" style="1" customWidth="1"/>
    <col min="4637" max="4865" width="9.140625" style="1"/>
    <col min="4866" max="4866" width="6.85546875" style="1" customWidth="1"/>
    <col min="4867" max="4867" width="13.140625" style="1" bestFit="1" customWidth="1"/>
    <col min="4868" max="4870" width="0" style="1" hidden="1" customWidth="1"/>
    <col min="4871" max="4871" width="26.85546875" style="1" customWidth="1"/>
    <col min="4872" max="4874" width="0" style="1" hidden="1" customWidth="1"/>
    <col min="4875" max="4875" width="28.7109375" style="1" customWidth="1"/>
    <col min="4876" max="4879" width="0" style="1" hidden="1" customWidth="1"/>
    <col min="4880" max="4880" width="25" style="1" customWidth="1"/>
    <col min="4881" max="4883" width="0" style="1" hidden="1" customWidth="1"/>
    <col min="4884" max="4884" width="21" style="1" customWidth="1"/>
    <col min="4885" max="4887" width="0" style="1" hidden="1" customWidth="1"/>
    <col min="4888" max="4888" width="25.85546875" style="1" customWidth="1"/>
    <col min="4889" max="4891" width="0" style="1" hidden="1" customWidth="1"/>
    <col min="4892" max="4892" width="23" style="1" customWidth="1"/>
    <col min="4893" max="5121" width="9.140625" style="1"/>
    <col min="5122" max="5122" width="6.85546875" style="1" customWidth="1"/>
    <col min="5123" max="5123" width="13.140625" style="1" bestFit="1" customWidth="1"/>
    <col min="5124" max="5126" width="0" style="1" hidden="1" customWidth="1"/>
    <col min="5127" max="5127" width="26.85546875" style="1" customWidth="1"/>
    <col min="5128" max="5130" width="0" style="1" hidden="1" customWidth="1"/>
    <col min="5131" max="5131" width="28.7109375" style="1" customWidth="1"/>
    <col min="5132" max="5135" width="0" style="1" hidden="1" customWidth="1"/>
    <col min="5136" max="5136" width="25" style="1" customWidth="1"/>
    <col min="5137" max="5139" width="0" style="1" hidden="1" customWidth="1"/>
    <col min="5140" max="5140" width="21" style="1" customWidth="1"/>
    <col min="5141" max="5143" width="0" style="1" hidden="1" customWidth="1"/>
    <col min="5144" max="5144" width="25.85546875" style="1" customWidth="1"/>
    <col min="5145" max="5147" width="0" style="1" hidden="1" customWidth="1"/>
    <col min="5148" max="5148" width="23" style="1" customWidth="1"/>
    <col min="5149" max="5377" width="9.140625" style="1"/>
    <col min="5378" max="5378" width="6.85546875" style="1" customWidth="1"/>
    <col min="5379" max="5379" width="13.140625" style="1" bestFit="1" customWidth="1"/>
    <col min="5380" max="5382" width="0" style="1" hidden="1" customWidth="1"/>
    <col min="5383" max="5383" width="26.85546875" style="1" customWidth="1"/>
    <col min="5384" max="5386" width="0" style="1" hidden="1" customWidth="1"/>
    <col min="5387" max="5387" width="28.7109375" style="1" customWidth="1"/>
    <col min="5388" max="5391" width="0" style="1" hidden="1" customWidth="1"/>
    <col min="5392" max="5392" width="25" style="1" customWidth="1"/>
    <col min="5393" max="5395" width="0" style="1" hidden="1" customWidth="1"/>
    <col min="5396" max="5396" width="21" style="1" customWidth="1"/>
    <col min="5397" max="5399" width="0" style="1" hidden="1" customWidth="1"/>
    <col min="5400" max="5400" width="25.85546875" style="1" customWidth="1"/>
    <col min="5401" max="5403" width="0" style="1" hidden="1" customWidth="1"/>
    <col min="5404" max="5404" width="23" style="1" customWidth="1"/>
    <col min="5405" max="5633" width="9.140625" style="1"/>
    <col min="5634" max="5634" width="6.85546875" style="1" customWidth="1"/>
    <col min="5635" max="5635" width="13.140625" style="1" bestFit="1" customWidth="1"/>
    <col min="5636" max="5638" width="0" style="1" hidden="1" customWidth="1"/>
    <col min="5639" max="5639" width="26.85546875" style="1" customWidth="1"/>
    <col min="5640" max="5642" width="0" style="1" hidden="1" customWidth="1"/>
    <col min="5643" max="5643" width="28.7109375" style="1" customWidth="1"/>
    <col min="5644" max="5647" width="0" style="1" hidden="1" customWidth="1"/>
    <col min="5648" max="5648" width="25" style="1" customWidth="1"/>
    <col min="5649" max="5651" width="0" style="1" hidden="1" customWidth="1"/>
    <col min="5652" max="5652" width="21" style="1" customWidth="1"/>
    <col min="5653" max="5655" width="0" style="1" hidden="1" customWidth="1"/>
    <col min="5656" max="5656" width="25.85546875" style="1" customWidth="1"/>
    <col min="5657" max="5659" width="0" style="1" hidden="1" customWidth="1"/>
    <col min="5660" max="5660" width="23" style="1" customWidth="1"/>
    <col min="5661" max="5889" width="9.140625" style="1"/>
    <col min="5890" max="5890" width="6.85546875" style="1" customWidth="1"/>
    <col min="5891" max="5891" width="13.140625" style="1" bestFit="1" customWidth="1"/>
    <col min="5892" max="5894" width="0" style="1" hidden="1" customWidth="1"/>
    <col min="5895" max="5895" width="26.85546875" style="1" customWidth="1"/>
    <col min="5896" max="5898" width="0" style="1" hidden="1" customWidth="1"/>
    <col min="5899" max="5899" width="28.7109375" style="1" customWidth="1"/>
    <col min="5900" max="5903" width="0" style="1" hidden="1" customWidth="1"/>
    <col min="5904" max="5904" width="25" style="1" customWidth="1"/>
    <col min="5905" max="5907" width="0" style="1" hidden="1" customWidth="1"/>
    <col min="5908" max="5908" width="21" style="1" customWidth="1"/>
    <col min="5909" max="5911" width="0" style="1" hidden="1" customWidth="1"/>
    <col min="5912" max="5912" width="25.85546875" style="1" customWidth="1"/>
    <col min="5913" max="5915" width="0" style="1" hidden="1" customWidth="1"/>
    <col min="5916" max="5916" width="23" style="1" customWidth="1"/>
    <col min="5917" max="6145" width="9.140625" style="1"/>
    <col min="6146" max="6146" width="6.85546875" style="1" customWidth="1"/>
    <col min="6147" max="6147" width="13.140625" style="1" bestFit="1" customWidth="1"/>
    <col min="6148" max="6150" width="0" style="1" hidden="1" customWidth="1"/>
    <col min="6151" max="6151" width="26.85546875" style="1" customWidth="1"/>
    <col min="6152" max="6154" width="0" style="1" hidden="1" customWidth="1"/>
    <col min="6155" max="6155" width="28.7109375" style="1" customWidth="1"/>
    <col min="6156" max="6159" width="0" style="1" hidden="1" customWidth="1"/>
    <col min="6160" max="6160" width="25" style="1" customWidth="1"/>
    <col min="6161" max="6163" width="0" style="1" hidden="1" customWidth="1"/>
    <col min="6164" max="6164" width="21" style="1" customWidth="1"/>
    <col min="6165" max="6167" width="0" style="1" hidden="1" customWidth="1"/>
    <col min="6168" max="6168" width="25.85546875" style="1" customWidth="1"/>
    <col min="6169" max="6171" width="0" style="1" hidden="1" customWidth="1"/>
    <col min="6172" max="6172" width="23" style="1" customWidth="1"/>
    <col min="6173" max="6401" width="9.140625" style="1"/>
    <col min="6402" max="6402" width="6.85546875" style="1" customWidth="1"/>
    <col min="6403" max="6403" width="13.140625" style="1" bestFit="1" customWidth="1"/>
    <col min="6404" max="6406" width="0" style="1" hidden="1" customWidth="1"/>
    <col min="6407" max="6407" width="26.85546875" style="1" customWidth="1"/>
    <col min="6408" max="6410" width="0" style="1" hidden="1" customWidth="1"/>
    <col min="6411" max="6411" width="28.7109375" style="1" customWidth="1"/>
    <col min="6412" max="6415" width="0" style="1" hidden="1" customWidth="1"/>
    <col min="6416" max="6416" width="25" style="1" customWidth="1"/>
    <col min="6417" max="6419" width="0" style="1" hidden="1" customWidth="1"/>
    <col min="6420" max="6420" width="21" style="1" customWidth="1"/>
    <col min="6421" max="6423" width="0" style="1" hidden="1" customWidth="1"/>
    <col min="6424" max="6424" width="25.85546875" style="1" customWidth="1"/>
    <col min="6425" max="6427" width="0" style="1" hidden="1" customWidth="1"/>
    <col min="6428" max="6428" width="23" style="1" customWidth="1"/>
    <col min="6429" max="6657" width="9.140625" style="1"/>
    <col min="6658" max="6658" width="6.85546875" style="1" customWidth="1"/>
    <col min="6659" max="6659" width="13.140625" style="1" bestFit="1" customWidth="1"/>
    <col min="6660" max="6662" width="0" style="1" hidden="1" customWidth="1"/>
    <col min="6663" max="6663" width="26.85546875" style="1" customWidth="1"/>
    <col min="6664" max="6666" width="0" style="1" hidden="1" customWidth="1"/>
    <col min="6667" max="6667" width="28.7109375" style="1" customWidth="1"/>
    <col min="6668" max="6671" width="0" style="1" hidden="1" customWidth="1"/>
    <col min="6672" max="6672" width="25" style="1" customWidth="1"/>
    <col min="6673" max="6675" width="0" style="1" hidden="1" customWidth="1"/>
    <col min="6676" max="6676" width="21" style="1" customWidth="1"/>
    <col min="6677" max="6679" width="0" style="1" hidden="1" customWidth="1"/>
    <col min="6680" max="6680" width="25.85546875" style="1" customWidth="1"/>
    <col min="6681" max="6683" width="0" style="1" hidden="1" customWidth="1"/>
    <col min="6684" max="6684" width="23" style="1" customWidth="1"/>
    <col min="6685" max="6913" width="9.140625" style="1"/>
    <col min="6914" max="6914" width="6.85546875" style="1" customWidth="1"/>
    <col min="6915" max="6915" width="13.140625" style="1" bestFit="1" customWidth="1"/>
    <col min="6916" max="6918" width="0" style="1" hidden="1" customWidth="1"/>
    <col min="6919" max="6919" width="26.85546875" style="1" customWidth="1"/>
    <col min="6920" max="6922" width="0" style="1" hidden="1" customWidth="1"/>
    <col min="6923" max="6923" width="28.7109375" style="1" customWidth="1"/>
    <col min="6924" max="6927" width="0" style="1" hidden="1" customWidth="1"/>
    <col min="6928" max="6928" width="25" style="1" customWidth="1"/>
    <col min="6929" max="6931" width="0" style="1" hidden="1" customWidth="1"/>
    <col min="6932" max="6932" width="21" style="1" customWidth="1"/>
    <col min="6933" max="6935" width="0" style="1" hidden="1" customWidth="1"/>
    <col min="6936" max="6936" width="25.85546875" style="1" customWidth="1"/>
    <col min="6937" max="6939" width="0" style="1" hidden="1" customWidth="1"/>
    <col min="6940" max="6940" width="23" style="1" customWidth="1"/>
    <col min="6941" max="7169" width="9.140625" style="1"/>
    <col min="7170" max="7170" width="6.85546875" style="1" customWidth="1"/>
    <col min="7171" max="7171" width="13.140625" style="1" bestFit="1" customWidth="1"/>
    <col min="7172" max="7174" width="0" style="1" hidden="1" customWidth="1"/>
    <col min="7175" max="7175" width="26.85546875" style="1" customWidth="1"/>
    <col min="7176" max="7178" width="0" style="1" hidden="1" customWidth="1"/>
    <col min="7179" max="7179" width="28.7109375" style="1" customWidth="1"/>
    <col min="7180" max="7183" width="0" style="1" hidden="1" customWidth="1"/>
    <col min="7184" max="7184" width="25" style="1" customWidth="1"/>
    <col min="7185" max="7187" width="0" style="1" hidden="1" customWidth="1"/>
    <col min="7188" max="7188" width="21" style="1" customWidth="1"/>
    <col min="7189" max="7191" width="0" style="1" hidden="1" customWidth="1"/>
    <col min="7192" max="7192" width="25.85546875" style="1" customWidth="1"/>
    <col min="7193" max="7195" width="0" style="1" hidden="1" customWidth="1"/>
    <col min="7196" max="7196" width="23" style="1" customWidth="1"/>
    <col min="7197" max="7425" width="9.140625" style="1"/>
    <col min="7426" max="7426" width="6.85546875" style="1" customWidth="1"/>
    <col min="7427" max="7427" width="13.140625" style="1" bestFit="1" customWidth="1"/>
    <col min="7428" max="7430" width="0" style="1" hidden="1" customWidth="1"/>
    <col min="7431" max="7431" width="26.85546875" style="1" customWidth="1"/>
    <col min="7432" max="7434" width="0" style="1" hidden="1" customWidth="1"/>
    <col min="7435" max="7435" width="28.7109375" style="1" customWidth="1"/>
    <col min="7436" max="7439" width="0" style="1" hidden="1" customWidth="1"/>
    <col min="7440" max="7440" width="25" style="1" customWidth="1"/>
    <col min="7441" max="7443" width="0" style="1" hidden="1" customWidth="1"/>
    <col min="7444" max="7444" width="21" style="1" customWidth="1"/>
    <col min="7445" max="7447" width="0" style="1" hidden="1" customWidth="1"/>
    <col min="7448" max="7448" width="25.85546875" style="1" customWidth="1"/>
    <col min="7449" max="7451" width="0" style="1" hidden="1" customWidth="1"/>
    <col min="7452" max="7452" width="23" style="1" customWidth="1"/>
    <col min="7453" max="7681" width="9.140625" style="1"/>
    <col min="7682" max="7682" width="6.85546875" style="1" customWidth="1"/>
    <col min="7683" max="7683" width="13.140625" style="1" bestFit="1" customWidth="1"/>
    <col min="7684" max="7686" width="0" style="1" hidden="1" customWidth="1"/>
    <col min="7687" max="7687" width="26.85546875" style="1" customWidth="1"/>
    <col min="7688" max="7690" width="0" style="1" hidden="1" customWidth="1"/>
    <col min="7691" max="7691" width="28.7109375" style="1" customWidth="1"/>
    <col min="7692" max="7695" width="0" style="1" hidden="1" customWidth="1"/>
    <col min="7696" max="7696" width="25" style="1" customWidth="1"/>
    <col min="7697" max="7699" width="0" style="1" hidden="1" customWidth="1"/>
    <col min="7700" max="7700" width="21" style="1" customWidth="1"/>
    <col min="7701" max="7703" width="0" style="1" hidden="1" customWidth="1"/>
    <col min="7704" max="7704" width="25.85546875" style="1" customWidth="1"/>
    <col min="7705" max="7707" width="0" style="1" hidden="1" customWidth="1"/>
    <col min="7708" max="7708" width="23" style="1" customWidth="1"/>
    <col min="7709" max="7937" width="9.140625" style="1"/>
    <col min="7938" max="7938" width="6.85546875" style="1" customWidth="1"/>
    <col min="7939" max="7939" width="13.140625" style="1" bestFit="1" customWidth="1"/>
    <col min="7940" max="7942" width="0" style="1" hidden="1" customWidth="1"/>
    <col min="7943" max="7943" width="26.85546875" style="1" customWidth="1"/>
    <col min="7944" max="7946" width="0" style="1" hidden="1" customWidth="1"/>
    <col min="7947" max="7947" width="28.7109375" style="1" customWidth="1"/>
    <col min="7948" max="7951" width="0" style="1" hidden="1" customWidth="1"/>
    <col min="7952" max="7952" width="25" style="1" customWidth="1"/>
    <col min="7953" max="7955" width="0" style="1" hidden="1" customWidth="1"/>
    <col min="7956" max="7956" width="21" style="1" customWidth="1"/>
    <col min="7957" max="7959" width="0" style="1" hidden="1" customWidth="1"/>
    <col min="7960" max="7960" width="25.85546875" style="1" customWidth="1"/>
    <col min="7961" max="7963" width="0" style="1" hidden="1" customWidth="1"/>
    <col min="7964" max="7964" width="23" style="1" customWidth="1"/>
    <col min="7965" max="8193" width="9.140625" style="1"/>
    <col min="8194" max="8194" width="6.85546875" style="1" customWidth="1"/>
    <col min="8195" max="8195" width="13.140625" style="1" bestFit="1" customWidth="1"/>
    <col min="8196" max="8198" width="0" style="1" hidden="1" customWidth="1"/>
    <col min="8199" max="8199" width="26.85546875" style="1" customWidth="1"/>
    <col min="8200" max="8202" width="0" style="1" hidden="1" customWidth="1"/>
    <col min="8203" max="8203" width="28.7109375" style="1" customWidth="1"/>
    <col min="8204" max="8207" width="0" style="1" hidden="1" customWidth="1"/>
    <col min="8208" max="8208" width="25" style="1" customWidth="1"/>
    <col min="8209" max="8211" width="0" style="1" hidden="1" customWidth="1"/>
    <col min="8212" max="8212" width="21" style="1" customWidth="1"/>
    <col min="8213" max="8215" width="0" style="1" hidden="1" customWidth="1"/>
    <col min="8216" max="8216" width="25.85546875" style="1" customWidth="1"/>
    <col min="8217" max="8219" width="0" style="1" hidden="1" customWidth="1"/>
    <col min="8220" max="8220" width="23" style="1" customWidth="1"/>
    <col min="8221" max="8449" width="9.140625" style="1"/>
    <col min="8450" max="8450" width="6.85546875" style="1" customWidth="1"/>
    <col min="8451" max="8451" width="13.140625" style="1" bestFit="1" customWidth="1"/>
    <col min="8452" max="8454" width="0" style="1" hidden="1" customWidth="1"/>
    <col min="8455" max="8455" width="26.85546875" style="1" customWidth="1"/>
    <col min="8456" max="8458" width="0" style="1" hidden="1" customWidth="1"/>
    <col min="8459" max="8459" width="28.7109375" style="1" customWidth="1"/>
    <col min="8460" max="8463" width="0" style="1" hidden="1" customWidth="1"/>
    <col min="8464" max="8464" width="25" style="1" customWidth="1"/>
    <col min="8465" max="8467" width="0" style="1" hidden="1" customWidth="1"/>
    <col min="8468" max="8468" width="21" style="1" customWidth="1"/>
    <col min="8469" max="8471" width="0" style="1" hidden="1" customWidth="1"/>
    <col min="8472" max="8472" width="25.85546875" style="1" customWidth="1"/>
    <col min="8473" max="8475" width="0" style="1" hidden="1" customWidth="1"/>
    <col min="8476" max="8476" width="23" style="1" customWidth="1"/>
    <col min="8477" max="8705" width="9.140625" style="1"/>
    <col min="8706" max="8706" width="6.85546875" style="1" customWidth="1"/>
    <col min="8707" max="8707" width="13.140625" style="1" bestFit="1" customWidth="1"/>
    <col min="8708" max="8710" width="0" style="1" hidden="1" customWidth="1"/>
    <col min="8711" max="8711" width="26.85546875" style="1" customWidth="1"/>
    <col min="8712" max="8714" width="0" style="1" hidden="1" customWidth="1"/>
    <col min="8715" max="8715" width="28.7109375" style="1" customWidth="1"/>
    <col min="8716" max="8719" width="0" style="1" hidden="1" customWidth="1"/>
    <col min="8720" max="8720" width="25" style="1" customWidth="1"/>
    <col min="8721" max="8723" width="0" style="1" hidden="1" customWidth="1"/>
    <col min="8724" max="8724" width="21" style="1" customWidth="1"/>
    <col min="8725" max="8727" width="0" style="1" hidden="1" customWidth="1"/>
    <col min="8728" max="8728" width="25.85546875" style="1" customWidth="1"/>
    <col min="8729" max="8731" width="0" style="1" hidden="1" customWidth="1"/>
    <col min="8732" max="8732" width="23" style="1" customWidth="1"/>
    <col min="8733" max="8961" width="9.140625" style="1"/>
    <col min="8962" max="8962" width="6.85546875" style="1" customWidth="1"/>
    <col min="8963" max="8963" width="13.140625" style="1" bestFit="1" customWidth="1"/>
    <col min="8964" max="8966" width="0" style="1" hidden="1" customWidth="1"/>
    <col min="8967" max="8967" width="26.85546875" style="1" customWidth="1"/>
    <col min="8968" max="8970" width="0" style="1" hidden="1" customWidth="1"/>
    <col min="8971" max="8971" width="28.7109375" style="1" customWidth="1"/>
    <col min="8972" max="8975" width="0" style="1" hidden="1" customWidth="1"/>
    <col min="8976" max="8976" width="25" style="1" customWidth="1"/>
    <col min="8977" max="8979" width="0" style="1" hidden="1" customWidth="1"/>
    <col min="8980" max="8980" width="21" style="1" customWidth="1"/>
    <col min="8981" max="8983" width="0" style="1" hidden="1" customWidth="1"/>
    <col min="8984" max="8984" width="25.85546875" style="1" customWidth="1"/>
    <col min="8985" max="8987" width="0" style="1" hidden="1" customWidth="1"/>
    <col min="8988" max="8988" width="23" style="1" customWidth="1"/>
    <col min="8989" max="9217" width="9.140625" style="1"/>
    <col min="9218" max="9218" width="6.85546875" style="1" customWidth="1"/>
    <col min="9219" max="9219" width="13.140625" style="1" bestFit="1" customWidth="1"/>
    <col min="9220" max="9222" width="0" style="1" hidden="1" customWidth="1"/>
    <col min="9223" max="9223" width="26.85546875" style="1" customWidth="1"/>
    <col min="9224" max="9226" width="0" style="1" hidden="1" customWidth="1"/>
    <col min="9227" max="9227" width="28.7109375" style="1" customWidth="1"/>
    <col min="9228" max="9231" width="0" style="1" hidden="1" customWidth="1"/>
    <col min="9232" max="9232" width="25" style="1" customWidth="1"/>
    <col min="9233" max="9235" width="0" style="1" hidden="1" customWidth="1"/>
    <col min="9236" max="9236" width="21" style="1" customWidth="1"/>
    <col min="9237" max="9239" width="0" style="1" hidden="1" customWidth="1"/>
    <col min="9240" max="9240" width="25.85546875" style="1" customWidth="1"/>
    <col min="9241" max="9243" width="0" style="1" hidden="1" customWidth="1"/>
    <col min="9244" max="9244" width="23" style="1" customWidth="1"/>
    <col min="9245" max="9473" width="9.140625" style="1"/>
    <col min="9474" max="9474" width="6.85546875" style="1" customWidth="1"/>
    <col min="9475" max="9475" width="13.140625" style="1" bestFit="1" customWidth="1"/>
    <col min="9476" max="9478" width="0" style="1" hidden="1" customWidth="1"/>
    <col min="9479" max="9479" width="26.85546875" style="1" customWidth="1"/>
    <col min="9480" max="9482" width="0" style="1" hidden="1" customWidth="1"/>
    <col min="9483" max="9483" width="28.7109375" style="1" customWidth="1"/>
    <col min="9484" max="9487" width="0" style="1" hidden="1" customWidth="1"/>
    <col min="9488" max="9488" width="25" style="1" customWidth="1"/>
    <col min="9489" max="9491" width="0" style="1" hidden="1" customWidth="1"/>
    <col min="9492" max="9492" width="21" style="1" customWidth="1"/>
    <col min="9493" max="9495" width="0" style="1" hidden="1" customWidth="1"/>
    <col min="9496" max="9496" width="25.85546875" style="1" customWidth="1"/>
    <col min="9497" max="9499" width="0" style="1" hidden="1" customWidth="1"/>
    <col min="9500" max="9500" width="23" style="1" customWidth="1"/>
    <col min="9501" max="9729" width="9.140625" style="1"/>
    <col min="9730" max="9730" width="6.85546875" style="1" customWidth="1"/>
    <col min="9731" max="9731" width="13.140625" style="1" bestFit="1" customWidth="1"/>
    <col min="9732" max="9734" width="0" style="1" hidden="1" customWidth="1"/>
    <col min="9735" max="9735" width="26.85546875" style="1" customWidth="1"/>
    <col min="9736" max="9738" width="0" style="1" hidden="1" customWidth="1"/>
    <col min="9739" max="9739" width="28.7109375" style="1" customWidth="1"/>
    <col min="9740" max="9743" width="0" style="1" hidden="1" customWidth="1"/>
    <col min="9744" max="9744" width="25" style="1" customWidth="1"/>
    <col min="9745" max="9747" width="0" style="1" hidden="1" customWidth="1"/>
    <col min="9748" max="9748" width="21" style="1" customWidth="1"/>
    <col min="9749" max="9751" width="0" style="1" hidden="1" customWidth="1"/>
    <col min="9752" max="9752" width="25.85546875" style="1" customWidth="1"/>
    <col min="9753" max="9755" width="0" style="1" hidden="1" customWidth="1"/>
    <col min="9756" max="9756" width="23" style="1" customWidth="1"/>
    <col min="9757" max="9985" width="9.140625" style="1"/>
    <col min="9986" max="9986" width="6.85546875" style="1" customWidth="1"/>
    <col min="9987" max="9987" width="13.140625" style="1" bestFit="1" customWidth="1"/>
    <col min="9988" max="9990" width="0" style="1" hidden="1" customWidth="1"/>
    <col min="9991" max="9991" width="26.85546875" style="1" customWidth="1"/>
    <col min="9992" max="9994" width="0" style="1" hidden="1" customWidth="1"/>
    <col min="9995" max="9995" width="28.7109375" style="1" customWidth="1"/>
    <col min="9996" max="9999" width="0" style="1" hidden="1" customWidth="1"/>
    <col min="10000" max="10000" width="25" style="1" customWidth="1"/>
    <col min="10001" max="10003" width="0" style="1" hidden="1" customWidth="1"/>
    <col min="10004" max="10004" width="21" style="1" customWidth="1"/>
    <col min="10005" max="10007" width="0" style="1" hidden="1" customWidth="1"/>
    <col min="10008" max="10008" width="25.85546875" style="1" customWidth="1"/>
    <col min="10009" max="10011" width="0" style="1" hidden="1" customWidth="1"/>
    <col min="10012" max="10012" width="23" style="1" customWidth="1"/>
    <col min="10013" max="10241" width="9.140625" style="1"/>
    <col min="10242" max="10242" width="6.85546875" style="1" customWidth="1"/>
    <col min="10243" max="10243" width="13.140625" style="1" bestFit="1" customWidth="1"/>
    <col min="10244" max="10246" width="0" style="1" hidden="1" customWidth="1"/>
    <col min="10247" max="10247" width="26.85546875" style="1" customWidth="1"/>
    <col min="10248" max="10250" width="0" style="1" hidden="1" customWidth="1"/>
    <col min="10251" max="10251" width="28.7109375" style="1" customWidth="1"/>
    <col min="10252" max="10255" width="0" style="1" hidden="1" customWidth="1"/>
    <col min="10256" max="10256" width="25" style="1" customWidth="1"/>
    <col min="10257" max="10259" width="0" style="1" hidden="1" customWidth="1"/>
    <col min="10260" max="10260" width="21" style="1" customWidth="1"/>
    <col min="10261" max="10263" width="0" style="1" hidden="1" customWidth="1"/>
    <col min="10264" max="10264" width="25.85546875" style="1" customWidth="1"/>
    <col min="10265" max="10267" width="0" style="1" hidden="1" customWidth="1"/>
    <col min="10268" max="10268" width="23" style="1" customWidth="1"/>
    <col min="10269" max="10497" width="9.140625" style="1"/>
    <col min="10498" max="10498" width="6.85546875" style="1" customWidth="1"/>
    <col min="10499" max="10499" width="13.140625" style="1" bestFit="1" customWidth="1"/>
    <col min="10500" max="10502" width="0" style="1" hidden="1" customWidth="1"/>
    <col min="10503" max="10503" width="26.85546875" style="1" customWidth="1"/>
    <col min="10504" max="10506" width="0" style="1" hidden="1" customWidth="1"/>
    <col min="10507" max="10507" width="28.7109375" style="1" customWidth="1"/>
    <col min="10508" max="10511" width="0" style="1" hidden="1" customWidth="1"/>
    <col min="10512" max="10512" width="25" style="1" customWidth="1"/>
    <col min="10513" max="10515" width="0" style="1" hidden="1" customWidth="1"/>
    <col min="10516" max="10516" width="21" style="1" customWidth="1"/>
    <col min="10517" max="10519" width="0" style="1" hidden="1" customWidth="1"/>
    <col min="10520" max="10520" width="25.85546875" style="1" customWidth="1"/>
    <col min="10521" max="10523" width="0" style="1" hidden="1" customWidth="1"/>
    <col min="10524" max="10524" width="23" style="1" customWidth="1"/>
    <col min="10525" max="10753" width="9.140625" style="1"/>
    <col min="10754" max="10754" width="6.85546875" style="1" customWidth="1"/>
    <col min="10755" max="10755" width="13.140625" style="1" bestFit="1" customWidth="1"/>
    <col min="10756" max="10758" width="0" style="1" hidden="1" customWidth="1"/>
    <col min="10759" max="10759" width="26.85546875" style="1" customWidth="1"/>
    <col min="10760" max="10762" width="0" style="1" hidden="1" customWidth="1"/>
    <col min="10763" max="10763" width="28.7109375" style="1" customWidth="1"/>
    <col min="10764" max="10767" width="0" style="1" hidden="1" customWidth="1"/>
    <col min="10768" max="10768" width="25" style="1" customWidth="1"/>
    <col min="10769" max="10771" width="0" style="1" hidden="1" customWidth="1"/>
    <col min="10772" max="10772" width="21" style="1" customWidth="1"/>
    <col min="10773" max="10775" width="0" style="1" hidden="1" customWidth="1"/>
    <col min="10776" max="10776" width="25.85546875" style="1" customWidth="1"/>
    <col min="10777" max="10779" width="0" style="1" hidden="1" customWidth="1"/>
    <col min="10780" max="10780" width="23" style="1" customWidth="1"/>
    <col min="10781" max="11009" width="9.140625" style="1"/>
    <col min="11010" max="11010" width="6.85546875" style="1" customWidth="1"/>
    <col min="11011" max="11011" width="13.140625" style="1" bestFit="1" customWidth="1"/>
    <col min="11012" max="11014" width="0" style="1" hidden="1" customWidth="1"/>
    <col min="11015" max="11015" width="26.85546875" style="1" customWidth="1"/>
    <col min="11016" max="11018" width="0" style="1" hidden="1" customWidth="1"/>
    <col min="11019" max="11019" width="28.7109375" style="1" customWidth="1"/>
    <col min="11020" max="11023" width="0" style="1" hidden="1" customWidth="1"/>
    <col min="11024" max="11024" width="25" style="1" customWidth="1"/>
    <col min="11025" max="11027" width="0" style="1" hidden="1" customWidth="1"/>
    <col min="11028" max="11028" width="21" style="1" customWidth="1"/>
    <col min="11029" max="11031" width="0" style="1" hidden="1" customWidth="1"/>
    <col min="11032" max="11032" width="25.85546875" style="1" customWidth="1"/>
    <col min="11033" max="11035" width="0" style="1" hidden="1" customWidth="1"/>
    <col min="11036" max="11036" width="23" style="1" customWidth="1"/>
    <col min="11037" max="11265" width="9.140625" style="1"/>
    <col min="11266" max="11266" width="6.85546875" style="1" customWidth="1"/>
    <col min="11267" max="11267" width="13.140625" style="1" bestFit="1" customWidth="1"/>
    <col min="11268" max="11270" width="0" style="1" hidden="1" customWidth="1"/>
    <col min="11271" max="11271" width="26.85546875" style="1" customWidth="1"/>
    <col min="11272" max="11274" width="0" style="1" hidden="1" customWidth="1"/>
    <col min="11275" max="11275" width="28.7109375" style="1" customWidth="1"/>
    <col min="11276" max="11279" width="0" style="1" hidden="1" customWidth="1"/>
    <col min="11280" max="11280" width="25" style="1" customWidth="1"/>
    <col min="11281" max="11283" width="0" style="1" hidden="1" customWidth="1"/>
    <col min="11284" max="11284" width="21" style="1" customWidth="1"/>
    <col min="11285" max="11287" width="0" style="1" hidden="1" customWidth="1"/>
    <col min="11288" max="11288" width="25.85546875" style="1" customWidth="1"/>
    <col min="11289" max="11291" width="0" style="1" hidden="1" customWidth="1"/>
    <col min="11292" max="11292" width="23" style="1" customWidth="1"/>
    <col min="11293" max="11521" width="9.140625" style="1"/>
    <col min="11522" max="11522" width="6.85546875" style="1" customWidth="1"/>
    <col min="11523" max="11523" width="13.140625" style="1" bestFit="1" customWidth="1"/>
    <col min="11524" max="11526" width="0" style="1" hidden="1" customWidth="1"/>
    <col min="11527" max="11527" width="26.85546875" style="1" customWidth="1"/>
    <col min="11528" max="11530" width="0" style="1" hidden="1" customWidth="1"/>
    <col min="11531" max="11531" width="28.7109375" style="1" customWidth="1"/>
    <col min="11532" max="11535" width="0" style="1" hidden="1" customWidth="1"/>
    <col min="11536" max="11536" width="25" style="1" customWidth="1"/>
    <col min="11537" max="11539" width="0" style="1" hidden="1" customWidth="1"/>
    <col min="11540" max="11540" width="21" style="1" customWidth="1"/>
    <col min="11541" max="11543" width="0" style="1" hidden="1" customWidth="1"/>
    <col min="11544" max="11544" width="25.85546875" style="1" customWidth="1"/>
    <col min="11545" max="11547" width="0" style="1" hidden="1" customWidth="1"/>
    <col min="11548" max="11548" width="23" style="1" customWidth="1"/>
    <col min="11549" max="11777" width="9.140625" style="1"/>
    <col min="11778" max="11778" width="6.85546875" style="1" customWidth="1"/>
    <col min="11779" max="11779" width="13.140625" style="1" bestFit="1" customWidth="1"/>
    <col min="11780" max="11782" width="0" style="1" hidden="1" customWidth="1"/>
    <col min="11783" max="11783" width="26.85546875" style="1" customWidth="1"/>
    <col min="11784" max="11786" width="0" style="1" hidden="1" customWidth="1"/>
    <col min="11787" max="11787" width="28.7109375" style="1" customWidth="1"/>
    <col min="11788" max="11791" width="0" style="1" hidden="1" customWidth="1"/>
    <col min="11792" max="11792" width="25" style="1" customWidth="1"/>
    <col min="11793" max="11795" width="0" style="1" hidden="1" customWidth="1"/>
    <col min="11796" max="11796" width="21" style="1" customWidth="1"/>
    <col min="11797" max="11799" width="0" style="1" hidden="1" customWidth="1"/>
    <col min="11800" max="11800" width="25.85546875" style="1" customWidth="1"/>
    <col min="11801" max="11803" width="0" style="1" hidden="1" customWidth="1"/>
    <col min="11804" max="11804" width="23" style="1" customWidth="1"/>
    <col min="11805" max="12033" width="9.140625" style="1"/>
    <col min="12034" max="12034" width="6.85546875" style="1" customWidth="1"/>
    <col min="12035" max="12035" width="13.140625" style="1" bestFit="1" customWidth="1"/>
    <col min="12036" max="12038" width="0" style="1" hidden="1" customWidth="1"/>
    <col min="12039" max="12039" width="26.85546875" style="1" customWidth="1"/>
    <col min="12040" max="12042" width="0" style="1" hidden="1" customWidth="1"/>
    <col min="12043" max="12043" width="28.7109375" style="1" customWidth="1"/>
    <col min="12044" max="12047" width="0" style="1" hidden="1" customWidth="1"/>
    <col min="12048" max="12048" width="25" style="1" customWidth="1"/>
    <col min="12049" max="12051" width="0" style="1" hidden="1" customWidth="1"/>
    <col min="12052" max="12052" width="21" style="1" customWidth="1"/>
    <col min="12053" max="12055" width="0" style="1" hidden="1" customWidth="1"/>
    <col min="12056" max="12056" width="25.85546875" style="1" customWidth="1"/>
    <col min="12057" max="12059" width="0" style="1" hidden="1" customWidth="1"/>
    <col min="12060" max="12060" width="23" style="1" customWidth="1"/>
    <col min="12061" max="12289" width="9.140625" style="1"/>
    <col min="12290" max="12290" width="6.85546875" style="1" customWidth="1"/>
    <col min="12291" max="12291" width="13.140625" style="1" bestFit="1" customWidth="1"/>
    <col min="12292" max="12294" width="0" style="1" hidden="1" customWidth="1"/>
    <col min="12295" max="12295" width="26.85546875" style="1" customWidth="1"/>
    <col min="12296" max="12298" width="0" style="1" hidden="1" customWidth="1"/>
    <col min="12299" max="12299" width="28.7109375" style="1" customWidth="1"/>
    <col min="12300" max="12303" width="0" style="1" hidden="1" customWidth="1"/>
    <col min="12304" max="12304" width="25" style="1" customWidth="1"/>
    <col min="12305" max="12307" width="0" style="1" hidden="1" customWidth="1"/>
    <col min="12308" max="12308" width="21" style="1" customWidth="1"/>
    <col min="12309" max="12311" width="0" style="1" hidden="1" customWidth="1"/>
    <col min="12312" max="12312" width="25.85546875" style="1" customWidth="1"/>
    <col min="12313" max="12315" width="0" style="1" hidden="1" customWidth="1"/>
    <col min="12316" max="12316" width="23" style="1" customWidth="1"/>
    <col min="12317" max="12545" width="9.140625" style="1"/>
    <col min="12546" max="12546" width="6.85546875" style="1" customWidth="1"/>
    <col min="12547" max="12547" width="13.140625" style="1" bestFit="1" customWidth="1"/>
    <col min="12548" max="12550" width="0" style="1" hidden="1" customWidth="1"/>
    <col min="12551" max="12551" width="26.85546875" style="1" customWidth="1"/>
    <col min="12552" max="12554" width="0" style="1" hidden="1" customWidth="1"/>
    <col min="12555" max="12555" width="28.7109375" style="1" customWidth="1"/>
    <col min="12556" max="12559" width="0" style="1" hidden="1" customWidth="1"/>
    <col min="12560" max="12560" width="25" style="1" customWidth="1"/>
    <col min="12561" max="12563" width="0" style="1" hidden="1" customWidth="1"/>
    <col min="12564" max="12564" width="21" style="1" customWidth="1"/>
    <col min="12565" max="12567" width="0" style="1" hidden="1" customWidth="1"/>
    <col min="12568" max="12568" width="25.85546875" style="1" customWidth="1"/>
    <col min="12569" max="12571" width="0" style="1" hidden="1" customWidth="1"/>
    <col min="12572" max="12572" width="23" style="1" customWidth="1"/>
    <col min="12573" max="12801" width="9.140625" style="1"/>
    <col min="12802" max="12802" width="6.85546875" style="1" customWidth="1"/>
    <col min="12803" max="12803" width="13.140625" style="1" bestFit="1" customWidth="1"/>
    <col min="12804" max="12806" width="0" style="1" hidden="1" customWidth="1"/>
    <col min="12807" max="12807" width="26.85546875" style="1" customWidth="1"/>
    <col min="12808" max="12810" width="0" style="1" hidden="1" customWidth="1"/>
    <col min="12811" max="12811" width="28.7109375" style="1" customWidth="1"/>
    <col min="12812" max="12815" width="0" style="1" hidden="1" customWidth="1"/>
    <col min="12816" max="12816" width="25" style="1" customWidth="1"/>
    <col min="12817" max="12819" width="0" style="1" hidden="1" customWidth="1"/>
    <col min="12820" max="12820" width="21" style="1" customWidth="1"/>
    <col min="12821" max="12823" width="0" style="1" hidden="1" customWidth="1"/>
    <col min="12824" max="12824" width="25.85546875" style="1" customWidth="1"/>
    <col min="12825" max="12827" width="0" style="1" hidden="1" customWidth="1"/>
    <col min="12828" max="12828" width="23" style="1" customWidth="1"/>
    <col min="12829" max="13057" width="9.140625" style="1"/>
    <col min="13058" max="13058" width="6.85546875" style="1" customWidth="1"/>
    <col min="13059" max="13059" width="13.140625" style="1" bestFit="1" customWidth="1"/>
    <col min="13060" max="13062" width="0" style="1" hidden="1" customWidth="1"/>
    <col min="13063" max="13063" width="26.85546875" style="1" customWidth="1"/>
    <col min="13064" max="13066" width="0" style="1" hidden="1" customWidth="1"/>
    <col min="13067" max="13067" width="28.7109375" style="1" customWidth="1"/>
    <col min="13068" max="13071" width="0" style="1" hidden="1" customWidth="1"/>
    <col min="13072" max="13072" width="25" style="1" customWidth="1"/>
    <col min="13073" max="13075" width="0" style="1" hidden="1" customWidth="1"/>
    <col min="13076" max="13076" width="21" style="1" customWidth="1"/>
    <col min="13077" max="13079" width="0" style="1" hidden="1" customWidth="1"/>
    <col min="13080" max="13080" width="25.85546875" style="1" customWidth="1"/>
    <col min="13081" max="13083" width="0" style="1" hidden="1" customWidth="1"/>
    <col min="13084" max="13084" width="23" style="1" customWidth="1"/>
    <col min="13085" max="13313" width="9.140625" style="1"/>
    <col min="13314" max="13314" width="6.85546875" style="1" customWidth="1"/>
    <col min="13315" max="13315" width="13.140625" style="1" bestFit="1" customWidth="1"/>
    <col min="13316" max="13318" width="0" style="1" hidden="1" customWidth="1"/>
    <col min="13319" max="13319" width="26.85546875" style="1" customWidth="1"/>
    <col min="13320" max="13322" width="0" style="1" hidden="1" customWidth="1"/>
    <col min="13323" max="13323" width="28.7109375" style="1" customWidth="1"/>
    <col min="13324" max="13327" width="0" style="1" hidden="1" customWidth="1"/>
    <col min="13328" max="13328" width="25" style="1" customWidth="1"/>
    <col min="13329" max="13331" width="0" style="1" hidden="1" customWidth="1"/>
    <col min="13332" max="13332" width="21" style="1" customWidth="1"/>
    <col min="13333" max="13335" width="0" style="1" hidden="1" customWidth="1"/>
    <col min="13336" max="13336" width="25.85546875" style="1" customWidth="1"/>
    <col min="13337" max="13339" width="0" style="1" hidden="1" customWidth="1"/>
    <col min="13340" max="13340" width="23" style="1" customWidth="1"/>
    <col min="13341" max="13569" width="9.140625" style="1"/>
    <col min="13570" max="13570" width="6.85546875" style="1" customWidth="1"/>
    <col min="13571" max="13571" width="13.140625" style="1" bestFit="1" customWidth="1"/>
    <col min="13572" max="13574" width="0" style="1" hidden="1" customWidth="1"/>
    <col min="13575" max="13575" width="26.85546875" style="1" customWidth="1"/>
    <col min="13576" max="13578" width="0" style="1" hidden="1" customWidth="1"/>
    <col min="13579" max="13579" width="28.7109375" style="1" customWidth="1"/>
    <col min="13580" max="13583" width="0" style="1" hidden="1" customWidth="1"/>
    <col min="13584" max="13584" width="25" style="1" customWidth="1"/>
    <col min="13585" max="13587" width="0" style="1" hidden="1" customWidth="1"/>
    <col min="13588" max="13588" width="21" style="1" customWidth="1"/>
    <col min="13589" max="13591" width="0" style="1" hidden="1" customWidth="1"/>
    <col min="13592" max="13592" width="25.85546875" style="1" customWidth="1"/>
    <col min="13593" max="13595" width="0" style="1" hidden="1" customWidth="1"/>
    <col min="13596" max="13596" width="23" style="1" customWidth="1"/>
    <col min="13597" max="13825" width="9.140625" style="1"/>
    <col min="13826" max="13826" width="6.85546875" style="1" customWidth="1"/>
    <col min="13827" max="13827" width="13.140625" style="1" bestFit="1" customWidth="1"/>
    <col min="13828" max="13830" width="0" style="1" hidden="1" customWidth="1"/>
    <col min="13831" max="13831" width="26.85546875" style="1" customWidth="1"/>
    <col min="13832" max="13834" width="0" style="1" hidden="1" customWidth="1"/>
    <col min="13835" max="13835" width="28.7109375" style="1" customWidth="1"/>
    <col min="13836" max="13839" width="0" style="1" hidden="1" customWidth="1"/>
    <col min="13840" max="13840" width="25" style="1" customWidth="1"/>
    <col min="13841" max="13843" width="0" style="1" hidden="1" customWidth="1"/>
    <col min="13844" max="13844" width="21" style="1" customWidth="1"/>
    <col min="13845" max="13847" width="0" style="1" hidden="1" customWidth="1"/>
    <col min="13848" max="13848" width="25.85546875" style="1" customWidth="1"/>
    <col min="13849" max="13851" width="0" style="1" hidden="1" customWidth="1"/>
    <col min="13852" max="13852" width="23" style="1" customWidth="1"/>
    <col min="13853" max="14081" width="9.140625" style="1"/>
    <col min="14082" max="14082" width="6.85546875" style="1" customWidth="1"/>
    <col min="14083" max="14083" width="13.140625" style="1" bestFit="1" customWidth="1"/>
    <col min="14084" max="14086" width="0" style="1" hidden="1" customWidth="1"/>
    <col min="14087" max="14087" width="26.85546875" style="1" customWidth="1"/>
    <col min="14088" max="14090" width="0" style="1" hidden="1" customWidth="1"/>
    <col min="14091" max="14091" width="28.7109375" style="1" customWidth="1"/>
    <col min="14092" max="14095" width="0" style="1" hidden="1" customWidth="1"/>
    <col min="14096" max="14096" width="25" style="1" customWidth="1"/>
    <col min="14097" max="14099" width="0" style="1" hidden="1" customWidth="1"/>
    <col min="14100" max="14100" width="21" style="1" customWidth="1"/>
    <col min="14101" max="14103" width="0" style="1" hidden="1" customWidth="1"/>
    <col min="14104" max="14104" width="25.85546875" style="1" customWidth="1"/>
    <col min="14105" max="14107" width="0" style="1" hidden="1" customWidth="1"/>
    <col min="14108" max="14108" width="23" style="1" customWidth="1"/>
    <col min="14109" max="14337" width="9.140625" style="1"/>
    <col min="14338" max="14338" width="6.85546875" style="1" customWidth="1"/>
    <col min="14339" max="14339" width="13.140625" style="1" bestFit="1" customWidth="1"/>
    <col min="14340" max="14342" width="0" style="1" hidden="1" customWidth="1"/>
    <col min="14343" max="14343" width="26.85546875" style="1" customWidth="1"/>
    <col min="14344" max="14346" width="0" style="1" hidden="1" customWidth="1"/>
    <col min="14347" max="14347" width="28.7109375" style="1" customWidth="1"/>
    <col min="14348" max="14351" width="0" style="1" hidden="1" customWidth="1"/>
    <col min="14352" max="14352" width="25" style="1" customWidth="1"/>
    <col min="14353" max="14355" width="0" style="1" hidden="1" customWidth="1"/>
    <col min="14356" max="14356" width="21" style="1" customWidth="1"/>
    <col min="14357" max="14359" width="0" style="1" hidden="1" customWidth="1"/>
    <col min="14360" max="14360" width="25.85546875" style="1" customWidth="1"/>
    <col min="14361" max="14363" width="0" style="1" hidden="1" customWidth="1"/>
    <col min="14364" max="14364" width="23" style="1" customWidth="1"/>
    <col min="14365" max="14593" width="9.140625" style="1"/>
    <col min="14594" max="14594" width="6.85546875" style="1" customWidth="1"/>
    <col min="14595" max="14595" width="13.140625" style="1" bestFit="1" customWidth="1"/>
    <col min="14596" max="14598" width="0" style="1" hidden="1" customWidth="1"/>
    <col min="14599" max="14599" width="26.85546875" style="1" customWidth="1"/>
    <col min="14600" max="14602" width="0" style="1" hidden="1" customWidth="1"/>
    <col min="14603" max="14603" width="28.7109375" style="1" customWidth="1"/>
    <col min="14604" max="14607" width="0" style="1" hidden="1" customWidth="1"/>
    <col min="14608" max="14608" width="25" style="1" customWidth="1"/>
    <col min="14609" max="14611" width="0" style="1" hidden="1" customWidth="1"/>
    <col min="14612" max="14612" width="21" style="1" customWidth="1"/>
    <col min="14613" max="14615" width="0" style="1" hidden="1" customWidth="1"/>
    <col min="14616" max="14616" width="25.85546875" style="1" customWidth="1"/>
    <col min="14617" max="14619" width="0" style="1" hidden="1" customWidth="1"/>
    <col min="14620" max="14620" width="23" style="1" customWidth="1"/>
    <col min="14621" max="14849" width="9.140625" style="1"/>
    <col min="14850" max="14850" width="6.85546875" style="1" customWidth="1"/>
    <col min="14851" max="14851" width="13.140625" style="1" bestFit="1" customWidth="1"/>
    <col min="14852" max="14854" width="0" style="1" hidden="1" customWidth="1"/>
    <col min="14855" max="14855" width="26.85546875" style="1" customWidth="1"/>
    <col min="14856" max="14858" width="0" style="1" hidden="1" customWidth="1"/>
    <col min="14859" max="14859" width="28.7109375" style="1" customWidth="1"/>
    <col min="14860" max="14863" width="0" style="1" hidden="1" customWidth="1"/>
    <col min="14864" max="14864" width="25" style="1" customWidth="1"/>
    <col min="14865" max="14867" width="0" style="1" hidden="1" customWidth="1"/>
    <col min="14868" max="14868" width="21" style="1" customWidth="1"/>
    <col min="14869" max="14871" width="0" style="1" hidden="1" customWidth="1"/>
    <col min="14872" max="14872" width="25.85546875" style="1" customWidth="1"/>
    <col min="14873" max="14875" width="0" style="1" hidden="1" customWidth="1"/>
    <col min="14876" max="14876" width="23" style="1" customWidth="1"/>
    <col min="14877" max="15105" width="9.140625" style="1"/>
    <col min="15106" max="15106" width="6.85546875" style="1" customWidth="1"/>
    <col min="15107" max="15107" width="13.140625" style="1" bestFit="1" customWidth="1"/>
    <col min="15108" max="15110" width="0" style="1" hidden="1" customWidth="1"/>
    <col min="15111" max="15111" width="26.85546875" style="1" customWidth="1"/>
    <col min="15112" max="15114" width="0" style="1" hidden="1" customWidth="1"/>
    <col min="15115" max="15115" width="28.7109375" style="1" customWidth="1"/>
    <col min="15116" max="15119" width="0" style="1" hidden="1" customWidth="1"/>
    <col min="15120" max="15120" width="25" style="1" customWidth="1"/>
    <col min="15121" max="15123" width="0" style="1" hidden="1" customWidth="1"/>
    <col min="15124" max="15124" width="21" style="1" customWidth="1"/>
    <col min="15125" max="15127" width="0" style="1" hidden="1" customWidth="1"/>
    <col min="15128" max="15128" width="25.85546875" style="1" customWidth="1"/>
    <col min="15129" max="15131" width="0" style="1" hidden="1" customWidth="1"/>
    <col min="15132" max="15132" width="23" style="1" customWidth="1"/>
    <col min="15133" max="15361" width="9.140625" style="1"/>
    <col min="15362" max="15362" width="6.85546875" style="1" customWidth="1"/>
    <col min="15363" max="15363" width="13.140625" style="1" bestFit="1" customWidth="1"/>
    <col min="15364" max="15366" width="0" style="1" hidden="1" customWidth="1"/>
    <col min="15367" max="15367" width="26.85546875" style="1" customWidth="1"/>
    <col min="15368" max="15370" width="0" style="1" hidden="1" customWidth="1"/>
    <col min="15371" max="15371" width="28.7109375" style="1" customWidth="1"/>
    <col min="15372" max="15375" width="0" style="1" hidden="1" customWidth="1"/>
    <col min="15376" max="15376" width="25" style="1" customWidth="1"/>
    <col min="15377" max="15379" width="0" style="1" hidden="1" customWidth="1"/>
    <col min="15380" max="15380" width="21" style="1" customWidth="1"/>
    <col min="15381" max="15383" width="0" style="1" hidden="1" customWidth="1"/>
    <col min="15384" max="15384" width="25.85546875" style="1" customWidth="1"/>
    <col min="15385" max="15387" width="0" style="1" hidden="1" customWidth="1"/>
    <col min="15388" max="15388" width="23" style="1" customWidth="1"/>
    <col min="15389" max="15617" width="9.140625" style="1"/>
    <col min="15618" max="15618" width="6.85546875" style="1" customWidth="1"/>
    <col min="15619" max="15619" width="13.140625" style="1" bestFit="1" customWidth="1"/>
    <col min="15620" max="15622" width="0" style="1" hidden="1" customWidth="1"/>
    <col min="15623" max="15623" width="26.85546875" style="1" customWidth="1"/>
    <col min="15624" max="15626" width="0" style="1" hidden="1" customWidth="1"/>
    <col min="15627" max="15627" width="28.7109375" style="1" customWidth="1"/>
    <col min="15628" max="15631" width="0" style="1" hidden="1" customWidth="1"/>
    <col min="15632" max="15632" width="25" style="1" customWidth="1"/>
    <col min="15633" max="15635" width="0" style="1" hidden="1" customWidth="1"/>
    <col min="15636" max="15636" width="21" style="1" customWidth="1"/>
    <col min="15637" max="15639" width="0" style="1" hidden="1" customWidth="1"/>
    <col min="15640" max="15640" width="25.85546875" style="1" customWidth="1"/>
    <col min="15641" max="15643" width="0" style="1" hidden="1" customWidth="1"/>
    <col min="15644" max="15644" width="23" style="1" customWidth="1"/>
    <col min="15645" max="15873" width="9.140625" style="1"/>
    <col min="15874" max="15874" width="6.85546875" style="1" customWidth="1"/>
    <col min="15875" max="15875" width="13.140625" style="1" bestFit="1" customWidth="1"/>
    <col min="15876" max="15878" width="0" style="1" hidden="1" customWidth="1"/>
    <col min="15879" max="15879" width="26.85546875" style="1" customWidth="1"/>
    <col min="15880" max="15882" width="0" style="1" hidden="1" customWidth="1"/>
    <col min="15883" max="15883" width="28.7109375" style="1" customWidth="1"/>
    <col min="15884" max="15887" width="0" style="1" hidden="1" customWidth="1"/>
    <col min="15888" max="15888" width="25" style="1" customWidth="1"/>
    <col min="15889" max="15891" width="0" style="1" hidden="1" customWidth="1"/>
    <col min="15892" max="15892" width="21" style="1" customWidth="1"/>
    <col min="15893" max="15895" width="0" style="1" hidden="1" customWidth="1"/>
    <col min="15896" max="15896" width="25.85546875" style="1" customWidth="1"/>
    <col min="15897" max="15899" width="0" style="1" hidden="1" customWidth="1"/>
    <col min="15900" max="15900" width="23" style="1" customWidth="1"/>
    <col min="15901" max="16129" width="9.140625" style="1"/>
    <col min="16130" max="16130" width="6.85546875" style="1" customWidth="1"/>
    <col min="16131" max="16131" width="13.140625" style="1" bestFit="1" customWidth="1"/>
    <col min="16132" max="16134" width="0" style="1" hidden="1" customWidth="1"/>
    <col min="16135" max="16135" width="26.85546875" style="1" customWidth="1"/>
    <col min="16136" max="16138" width="0" style="1" hidden="1" customWidth="1"/>
    <col min="16139" max="16139" width="28.7109375" style="1" customWidth="1"/>
    <col min="16140" max="16143" width="0" style="1" hidden="1" customWidth="1"/>
    <col min="16144" max="16144" width="25" style="1" customWidth="1"/>
    <col min="16145" max="16147" width="0" style="1" hidden="1" customWidth="1"/>
    <col min="16148" max="16148" width="21" style="1" customWidth="1"/>
    <col min="16149" max="16151" width="0" style="1" hidden="1" customWidth="1"/>
    <col min="16152" max="16152" width="25.85546875" style="1" customWidth="1"/>
    <col min="16153" max="16155" width="0" style="1" hidden="1" customWidth="1"/>
    <col min="16156" max="16156" width="23" style="1" customWidth="1"/>
    <col min="16157" max="16384" width="9.140625" style="1"/>
  </cols>
  <sheetData>
    <row r="2" spans="2:28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  <c r="N2" s="2418"/>
      <c r="O2" s="2418"/>
      <c r="P2" s="2418"/>
      <c r="Q2" s="2418"/>
      <c r="R2" s="2418"/>
      <c r="S2" s="2418"/>
      <c r="T2" s="2418"/>
      <c r="U2" s="2418"/>
      <c r="V2" s="2418"/>
      <c r="W2" s="2418"/>
      <c r="X2" s="2418"/>
      <c r="Y2" s="2418"/>
      <c r="Z2" s="2418"/>
      <c r="AA2" s="2418"/>
      <c r="AB2" s="2418"/>
    </row>
    <row r="3" spans="2:28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  <c r="N3" s="2419"/>
      <c r="O3" s="2419"/>
      <c r="P3" s="2419"/>
      <c r="Q3" s="2419"/>
      <c r="R3" s="2419"/>
      <c r="S3" s="2419"/>
      <c r="T3" s="2419"/>
      <c r="U3" s="2419"/>
      <c r="V3" s="2419"/>
      <c r="W3" s="2419"/>
      <c r="X3" s="2419"/>
      <c r="Y3" s="2419"/>
      <c r="Z3" s="2419"/>
      <c r="AA3" s="2419"/>
      <c r="AB3" s="2419"/>
    </row>
    <row r="5" spans="2:28">
      <c r="B5" s="2435" t="s">
        <v>2737</v>
      </c>
      <c r="C5" s="2435"/>
      <c r="D5" s="2435"/>
      <c r="E5" s="2435"/>
      <c r="F5" s="2435"/>
      <c r="G5" s="2435"/>
      <c r="H5" s="2435"/>
      <c r="I5" s="2435"/>
      <c r="J5" s="2435"/>
      <c r="K5" s="2435"/>
      <c r="L5" s="2435"/>
      <c r="M5" s="2435"/>
      <c r="N5" s="2435"/>
      <c r="O5" s="2435"/>
      <c r="P5" s="2435"/>
      <c r="Q5" s="2435"/>
      <c r="R5" s="2435"/>
      <c r="S5" s="2435"/>
      <c r="T5" s="2435"/>
      <c r="U5" s="2435"/>
      <c r="V5" s="2435"/>
      <c r="W5" s="2435"/>
      <c r="X5" s="2435"/>
      <c r="Y5" s="2435"/>
      <c r="Z5" s="2435"/>
      <c r="AA5" s="2435"/>
      <c r="AB5" s="2435"/>
    </row>
    <row r="6" spans="2:28">
      <c r="B6" s="2541" t="s">
        <v>2642</v>
      </c>
      <c r="C6" s="2541"/>
      <c r="D6" s="2541"/>
      <c r="E6" s="2541"/>
      <c r="F6" s="2541"/>
      <c r="G6" s="2541"/>
      <c r="H6" s="2541"/>
      <c r="I6" s="2541"/>
      <c r="J6" s="2541"/>
      <c r="K6" s="2541"/>
      <c r="L6" s="2541"/>
      <c r="M6" s="2541"/>
      <c r="N6" s="2541"/>
      <c r="O6" s="2541"/>
      <c r="P6" s="2541"/>
      <c r="Q6" s="2541"/>
      <c r="R6" s="2541"/>
      <c r="S6" s="2541"/>
      <c r="T6" s="2541"/>
      <c r="U6" s="2541"/>
      <c r="V6" s="2541"/>
      <c r="W6" s="2541"/>
      <c r="X6" s="2541"/>
      <c r="Y6" s="2541"/>
      <c r="Z6" s="2541"/>
      <c r="AA6" s="2541"/>
      <c r="AB6" s="2541"/>
    </row>
    <row r="7" spans="2:28" ht="16.5" thickBot="1"/>
    <row r="8" spans="2:28" ht="39.75" customHeight="1">
      <c r="B8" s="2529" t="s">
        <v>349</v>
      </c>
      <c r="C8" s="2528" t="s">
        <v>331</v>
      </c>
      <c r="D8" s="2528"/>
      <c r="E8" s="2528"/>
      <c r="F8" s="2528"/>
      <c r="G8" s="2528"/>
      <c r="H8" s="2528" t="s">
        <v>2643</v>
      </c>
      <c r="I8" s="2528"/>
      <c r="J8" s="2528"/>
      <c r="K8" s="2528"/>
      <c r="L8" s="2528" t="s">
        <v>2753</v>
      </c>
      <c r="M8" s="2528"/>
      <c r="N8" s="2528"/>
      <c r="O8" s="2528"/>
      <c r="P8" s="2528"/>
      <c r="Q8" s="2528" t="s">
        <v>2752</v>
      </c>
      <c r="R8" s="2528"/>
      <c r="S8" s="2528"/>
      <c r="T8" s="2528"/>
      <c r="U8" s="2528" t="s">
        <v>2751</v>
      </c>
      <c r="V8" s="2528"/>
      <c r="W8" s="2528"/>
      <c r="X8" s="2528"/>
      <c r="Y8" s="2528" t="s">
        <v>2750</v>
      </c>
      <c r="Z8" s="2528"/>
      <c r="AA8" s="2528"/>
      <c r="AB8" s="2547"/>
    </row>
    <row r="9" spans="2:28">
      <c r="B9" s="2530"/>
      <c r="C9" s="2531"/>
      <c r="D9" s="1846"/>
      <c r="E9" s="1853"/>
      <c r="F9" s="1846"/>
      <c r="G9" s="1853"/>
      <c r="H9" s="1846"/>
      <c r="I9" s="1853"/>
      <c r="J9" s="1846"/>
      <c r="K9" s="1853" t="s">
        <v>1037</v>
      </c>
      <c r="L9" s="1846"/>
      <c r="M9" s="1853"/>
      <c r="N9" s="1846"/>
      <c r="O9" s="1853"/>
      <c r="P9" s="1853" t="s">
        <v>1037</v>
      </c>
      <c r="Q9" s="1846"/>
      <c r="R9" s="1853"/>
      <c r="S9" s="1846"/>
      <c r="T9" s="1853" t="s">
        <v>1037</v>
      </c>
      <c r="U9" s="1846"/>
      <c r="V9" s="1853"/>
      <c r="W9" s="1846"/>
      <c r="X9" s="1853" t="s">
        <v>2508</v>
      </c>
      <c r="Y9" s="1846"/>
      <c r="Z9" s="1853"/>
      <c r="AA9" s="1846"/>
      <c r="AB9" s="1835" t="s">
        <v>2508</v>
      </c>
    </row>
    <row r="10" spans="2:28">
      <c r="B10" s="587">
        <v>1</v>
      </c>
      <c r="C10" s="346" t="s">
        <v>2641</v>
      </c>
      <c r="D10" s="347"/>
      <c r="E10" s="347"/>
      <c r="F10" s="347"/>
      <c r="G10" s="1561"/>
      <c r="H10" s="1562"/>
      <c r="I10" s="1562"/>
      <c r="J10" s="1562"/>
      <c r="K10" s="1815" t="s">
        <v>1983</v>
      </c>
      <c r="L10" s="1789"/>
      <c r="M10" s="1789"/>
      <c r="N10" s="1810"/>
      <c r="O10" s="1789"/>
      <c r="P10" s="1816" t="s">
        <v>1983</v>
      </c>
      <c r="Q10" s="1810"/>
      <c r="R10" s="1810"/>
      <c r="S10" s="1810"/>
      <c r="T10" s="1815">
        <v>2</v>
      </c>
      <c r="U10" s="1810"/>
      <c r="V10" s="1810"/>
      <c r="W10" s="1810"/>
      <c r="X10" s="1815">
        <v>6</v>
      </c>
      <c r="Y10" s="1810"/>
      <c r="Z10" s="1810"/>
      <c r="AA10" s="1810"/>
      <c r="AB10" s="1811">
        <v>16</v>
      </c>
    </row>
    <row r="11" spans="2:28" ht="15.75" customHeight="1">
      <c r="B11" s="587">
        <v>2</v>
      </c>
      <c r="C11" s="346" t="s">
        <v>103</v>
      </c>
      <c r="D11" s="347"/>
      <c r="E11" s="347"/>
      <c r="F11" s="347"/>
      <c r="G11" s="2545"/>
      <c r="H11" s="1562"/>
      <c r="I11" s="1562"/>
      <c r="J11" s="1562"/>
      <c r="K11" s="1817">
        <v>43</v>
      </c>
      <c r="L11" s="1789"/>
      <c r="M11" s="1789"/>
      <c r="N11" s="1810"/>
      <c r="O11" s="1789"/>
      <c r="P11" s="1789">
        <v>32</v>
      </c>
      <c r="Q11" s="1810"/>
      <c r="R11" s="1810"/>
      <c r="S11" s="1810"/>
      <c r="T11" s="1817">
        <v>6</v>
      </c>
      <c r="U11" s="1810"/>
      <c r="V11" s="1810"/>
      <c r="W11" s="1810"/>
      <c r="X11" s="1817">
        <v>89</v>
      </c>
      <c r="Y11" s="1810"/>
      <c r="Z11" s="1810"/>
      <c r="AA11" s="1810"/>
      <c r="AB11" s="1812">
        <v>33</v>
      </c>
    </row>
    <row r="12" spans="2:28" ht="15.75" customHeight="1">
      <c r="B12" s="587">
        <v>3</v>
      </c>
      <c r="C12" s="346" t="s">
        <v>431</v>
      </c>
      <c r="D12" s="347"/>
      <c r="E12" s="347"/>
      <c r="F12" s="347"/>
      <c r="G12" s="2545"/>
      <c r="H12" s="1562"/>
      <c r="I12" s="1562"/>
      <c r="J12" s="1562"/>
      <c r="K12" s="1817">
        <v>5</v>
      </c>
      <c r="L12" s="1789"/>
      <c r="M12" s="1789"/>
      <c r="N12" s="1810"/>
      <c r="O12" s="1789"/>
      <c r="P12" s="1789">
        <v>9</v>
      </c>
      <c r="Q12" s="1810"/>
      <c r="R12" s="1810"/>
      <c r="S12" s="1810"/>
      <c r="T12" s="1817">
        <v>3</v>
      </c>
      <c r="U12" s="1810"/>
      <c r="V12" s="1810"/>
      <c r="W12" s="1810"/>
      <c r="X12" s="1817">
        <v>17</v>
      </c>
      <c r="Y12" s="1810"/>
      <c r="Z12" s="1810"/>
      <c r="AA12" s="1810"/>
      <c r="AB12" s="1812">
        <v>12</v>
      </c>
    </row>
    <row r="13" spans="2:28" ht="15.75" customHeight="1">
      <c r="B13" s="587">
        <v>4</v>
      </c>
      <c r="C13" s="346" t="s">
        <v>2678</v>
      </c>
      <c r="D13" s="347"/>
      <c r="E13" s="347"/>
      <c r="F13" s="347"/>
      <c r="G13" s="2545"/>
      <c r="H13" s="1562"/>
      <c r="I13" s="1562"/>
      <c r="J13" s="1562"/>
      <c r="K13" s="1817">
        <f>[10]F18!$K$13</f>
        <v>167</v>
      </c>
      <c r="L13" s="1789"/>
      <c r="M13" s="1789"/>
      <c r="N13" s="1810"/>
      <c r="O13" s="1789"/>
      <c r="P13" s="1789">
        <f>[10]F18!$P$13</f>
        <v>114</v>
      </c>
      <c r="Q13" s="1810"/>
      <c r="R13" s="1810"/>
      <c r="S13" s="1810"/>
      <c r="T13" s="1817">
        <f>[10]F18!$T$13</f>
        <v>22</v>
      </c>
      <c r="U13" s="1810"/>
      <c r="V13" s="1810"/>
      <c r="W13" s="1810"/>
      <c r="X13" s="1817">
        <f>[10]F18!$X$13</f>
        <v>68</v>
      </c>
      <c r="Y13" s="1810"/>
      <c r="Z13" s="1810"/>
      <c r="AA13" s="1810"/>
      <c r="AB13" s="1812">
        <f>[10]F18!$AB$13</f>
        <v>17</v>
      </c>
    </row>
    <row r="14" spans="2:28" ht="15.75" customHeight="1" thickBot="1">
      <c r="B14" s="604">
        <v>5</v>
      </c>
      <c r="C14" s="1637" t="s">
        <v>287</v>
      </c>
      <c r="D14" s="1637"/>
      <c r="E14" s="1637"/>
      <c r="F14" s="1637"/>
      <c r="G14" s="2546"/>
      <c r="H14" s="1795"/>
      <c r="I14" s="1795"/>
      <c r="J14" s="1795"/>
      <c r="K14" s="1818">
        <f>SUM(K10:K13)</f>
        <v>215</v>
      </c>
      <c r="L14" s="1818">
        <f t="shared" ref="L14:AA14" si="0">SUM(L10:L12)</f>
        <v>0</v>
      </c>
      <c r="M14" s="1818">
        <f t="shared" si="0"/>
        <v>0</v>
      </c>
      <c r="N14" s="1818">
        <f t="shared" si="0"/>
        <v>0</v>
      </c>
      <c r="O14" s="1818">
        <f t="shared" si="0"/>
        <v>0</v>
      </c>
      <c r="P14" s="1818">
        <f>SUM(P10:P13)</f>
        <v>155</v>
      </c>
      <c r="Q14" s="1818">
        <f t="shared" si="0"/>
        <v>0</v>
      </c>
      <c r="R14" s="1818">
        <f t="shared" si="0"/>
        <v>0</v>
      </c>
      <c r="S14" s="1818">
        <f t="shared" si="0"/>
        <v>0</v>
      </c>
      <c r="T14" s="1818">
        <f>SUM(T10:T13)</f>
        <v>33</v>
      </c>
      <c r="U14" s="1818">
        <f t="shared" si="0"/>
        <v>0</v>
      </c>
      <c r="V14" s="1818">
        <f t="shared" si="0"/>
        <v>0</v>
      </c>
      <c r="W14" s="1818">
        <f t="shared" si="0"/>
        <v>0</v>
      </c>
      <c r="X14" s="1818">
        <f>SUM(X10:X13)</f>
        <v>180</v>
      </c>
      <c r="Y14" s="1818">
        <f t="shared" si="0"/>
        <v>0</v>
      </c>
      <c r="Z14" s="1818">
        <f t="shared" si="0"/>
        <v>0</v>
      </c>
      <c r="AA14" s="1818">
        <f t="shared" si="0"/>
        <v>0</v>
      </c>
      <c r="AB14" s="1819">
        <f>SUM(AB10:AB13)</f>
        <v>78</v>
      </c>
    </row>
  </sheetData>
  <mergeCells count="13">
    <mergeCell ref="G11:G14"/>
    <mergeCell ref="B6:AB6"/>
    <mergeCell ref="B5:AB5"/>
    <mergeCell ref="B2:AB2"/>
    <mergeCell ref="B3:AB3"/>
    <mergeCell ref="B8:B9"/>
    <mergeCell ref="C8:C9"/>
    <mergeCell ref="D8:G8"/>
    <mergeCell ref="H8:K8"/>
    <mergeCell ref="L8:P8"/>
    <mergeCell ref="Q8:T8"/>
    <mergeCell ref="U8:X8"/>
    <mergeCell ref="Y8:AB8"/>
  </mergeCells>
  <printOptions horizontalCentered="1"/>
  <pageMargins left="0.7" right="0.7" top="0.75" bottom="0.75" header="0.3" footer="0.3"/>
  <pageSetup paperSize="9" scale="88" firstPageNumber="116" orientation="landscape" useFirstPageNumber="1" r:id="rId1"/>
  <headerFooter>
    <oddFooter>&amp;C&amp;"Times New Roman,Regular"&amp;10PSTCL -Transmission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1:AB13"/>
  <sheetViews>
    <sheetView view="pageBreakPreview" zoomScale="60" zoomScaleNormal="69" workbookViewId="0">
      <selection activeCell="I10" sqref="I10"/>
    </sheetView>
  </sheetViews>
  <sheetFormatPr defaultRowHeight="15.75"/>
  <cols>
    <col min="1" max="1" width="9.140625" style="1"/>
    <col min="2" max="2" width="9.28515625" style="1" customWidth="1"/>
    <col min="3" max="3" width="16.42578125" style="1" customWidth="1"/>
    <col min="4" max="6" width="11.28515625" style="1" hidden="1" customWidth="1"/>
    <col min="7" max="7" width="26.85546875" style="1" hidden="1" customWidth="1"/>
    <col min="8" max="8" width="13.42578125" style="1" hidden="1" customWidth="1"/>
    <col min="9" max="9" width="16.28515625" style="1" hidden="1" customWidth="1"/>
    <col min="10" max="10" width="13.85546875" style="1" hidden="1" customWidth="1"/>
    <col min="11" max="11" width="28.7109375" style="1" hidden="1" customWidth="1"/>
    <col min="12" max="12" width="13.42578125" style="1" hidden="1" customWidth="1"/>
    <col min="13" max="13" width="16.42578125" style="1" hidden="1" customWidth="1"/>
    <col min="14" max="14" width="17.140625" style="1" hidden="1" customWidth="1"/>
    <col min="15" max="15" width="20.5703125" style="1" hidden="1" customWidth="1"/>
    <col min="16" max="16" width="29.85546875" style="1" customWidth="1"/>
    <col min="17" max="17" width="16.42578125" style="1" hidden="1" customWidth="1"/>
    <col min="18" max="19" width="0" style="1" hidden="1" customWidth="1"/>
    <col min="20" max="20" width="27.7109375" style="1" customWidth="1"/>
    <col min="21" max="23" width="0" style="1" hidden="1" customWidth="1"/>
    <col min="24" max="24" width="29.7109375" style="1" customWidth="1"/>
    <col min="25" max="27" width="0" style="1" hidden="1" customWidth="1"/>
    <col min="28" max="28" width="30.42578125" style="1" customWidth="1"/>
    <col min="29" max="257" width="9.140625" style="1"/>
    <col min="258" max="258" width="6.85546875" style="1" customWidth="1"/>
    <col min="259" max="259" width="13.140625" style="1" bestFit="1" customWidth="1"/>
    <col min="260" max="262" width="0" style="1" hidden="1" customWidth="1"/>
    <col min="263" max="263" width="26.85546875" style="1" customWidth="1"/>
    <col min="264" max="266" width="0" style="1" hidden="1" customWidth="1"/>
    <col min="267" max="267" width="28.7109375" style="1" customWidth="1"/>
    <col min="268" max="271" width="0" style="1" hidden="1" customWidth="1"/>
    <col min="272" max="272" width="25" style="1" customWidth="1"/>
    <col min="273" max="275" width="0" style="1" hidden="1" customWidth="1"/>
    <col min="276" max="276" width="21" style="1" customWidth="1"/>
    <col min="277" max="279" width="0" style="1" hidden="1" customWidth="1"/>
    <col min="280" max="280" width="25.85546875" style="1" customWidth="1"/>
    <col min="281" max="283" width="0" style="1" hidden="1" customWidth="1"/>
    <col min="284" max="284" width="23" style="1" customWidth="1"/>
    <col min="285" max="513" width="9.140625" style="1"/>
    <col min="514" max="514" width="6.85546875" style="1" customWidth="1"/>
    <col min="515" max="515" width="13.140625" style="1" bestFit="1" customWidth="1"/>
    <col min="516" max="518" width="0" style="1" hidden="1" customWidth="1"/>
    <col min="519" max="519" width="26.85546875" style="1" customWidth="1"/>
    <col min="520" max="522" width="0" style="1" hidden="1" customWidth="1"/>
    <col min="523" max="523" width="28.7109375" style="1" customWidth="1"/>
    <col min="524" max="527" width="0" style="1" hidden="1" customWidth="1"/>
    <col min="528" max="528" width="25" style="1" customWidth="1"/>
    <col min="529" max="531" width="0" style="1" hidden="1" customWidth="1"/>
    <col min="532" max="532" width="21" style="1" customWidth="1"/>
    <col min="533" max="535" width="0" style="1" hidden="1" customWidth="1"/>
    <col min="536" max="536" width="25.85546875" style="1" customWidth="1"/>
    <col min="537" max="539" width="0" style="1" hidden="1" customWidth="1"/>
    <col min="540" max="540" width="23" style="1" customWidth="1"/>
    <col min="541" max="769" width="9.140625" style="1"/>
    <col min="770" max="770" width="6.85546875" style="1" customWidth="1"/>
    <col min="771" max="771" width="13.140625" style="1" bestFit="1" customWidth="1"/>
    <col min="772" max="774" width="0" style="1" hidden="1" customWidth="1"/>
    <col min="775" max="775" width="26.85546875" style="1" customWidth="1"/>
    <col min="776" max="778" width="0" style="1" hidden="1" customWidth="1"/>
    <col min="779" max="779" width="28.7109375" style="1" customWidth="1"/>
    <col min="780" max="783" width="0" style="1" hidden="1" customWidth="1"/>
    <col min="784" max="784" width="25" style="1" customWidth="1"/>
    <col min="785" max="787" width="0" style="1" hidden="1" customWidth="1"/>
    <col min="788" max="788" width="21" style="1" customWidth="1"/>
    <col min="789" max="791" width="0" style="1" hidden="1" customWidth="1"/>
    <col min="792" max="792" width="25.85546875" style="1" customWidth="1"/>
    <col min="793" max="795" width="0" style="1" hidden="1" customWidth="1"/>
    <col min="796" max="796" width="23" style="1" customWidth="1"/>
    <col min="797" max="1025" width="9.140625" style="1"/>
    <col min="1026" max="1026" width="6.85546875" style="1" customWidth="1"/>
    <col min="1027" max="1027" width="13.140625" style="1" bestFit="1" customWidth="1"/>
    <col min="1028" max="1030" width="0" style="1" hidden="1" customWidth="1"/>
    <col min="1031" max="1031" width="26.85546875" style="1" customWidth="1"/>
    <col min="1032" max="1034" width="0" style="1" hidden="1" customWidth="1"/>
    <col min="1035" max="1035" width="28.7109375" style="1" customWidth="1"/>
    <col min="1036" max="1039" width="0" style="1" hidden="1" customWidth="1"/>
    <col min="1040" max="1040" width="25" style="1" customWidth="1"/>
    <col min="1041" max="1043" width="0" style="1" hidden="1" customWidth="1"/>
    <col min="1044" max="1044" width="21" style="1" customWidth="1"/>
    <col min="1045" max="1047" width="0" style="1" hidden="1" customWidth="1"/>
    <col min="1048" max="1048" width="25.85546875" style="1" customWidth="1"/>
    <col min="1049" max="1051" width="0" style="1" hidden="1" customWidth="1"/>
    <col min="1052" max="1052" width="23" style="1" customWidth="1"/>
    <col min="1053" max="1281" width="9.140625" style="1"/>
    <col min="1282" max="1282" width="6.85546875" style="1" customWidth="1"/>
    <col min="1283" max="1283" width="13.140625" style="1" bestFit="1" customWidth="1"/>
    <col min="1284" max="1286" width="0" style="1" hidden="1" customWidth="1"/>
    <col min="1287" max="1287" width="26.85546875" style="1" customWidth="1"/>
    <col min="1288" max="1290" width="0" style="1" hidden="1" customWidth="1"/>
    <col min="1291" max="1291" width="28.7109375" style="1" customWidth="1"/>
    <col min="1292" max="1295" width="0" style="1" hidden="1" customWidth="1"/>
    <col min="1296" max="1296" width="25" style="1" customWidth="1"/>
    <col min="1297" max="1299" width="0" style="1" hidden="1" customWidth="1"/>
    <col min="1300" max="1300" width="21" style="1" customWidth="1"/>
    <col min="1301" max="1303" width="0" style="1" hidden="1" customWidth="1"/>
    <col min="1304" max="1304" width="25.85546875" style="1" customWidth="1"/>
    <col min="1305" max="1307" width="0" style="1" hidden="1" customWidth="1"/>
    <col min="1308" max="1308" width="23" style="1" customWidth="1"/>
    <col min="1309" max="1537" width="9.140625" style="1"/>
    <col min="1538" max="1538" width="6.85546875" style="1" customWidth="1"/>
    <col min="1539" max="1539" width="13.140625" style="1" bestFit="1" customWidth="1"/>
    <col min="1540" max="1542" width="0" style="1" hidden="1" customWidth="1"/>
    <col min="1543" max="1543" width="26.85546875" style="1" customWidth="1"/>
    <col min="1544" max="1546" width="0" style="1" hidden="1" customWidth="1"/>
    <col min="1547" max="1547" width="28.7109375" style="1" customWidth="1"/>
    <col min="1548" max="1551" width="0" style="1" hidden="1" customWidth="1"/>
    <col min="1552" max="1552" width="25" style="1" customWidth="1"/>
    <col min="1553" max="1555" width="0" style="1" hidden="1" customWidth="1"/>
    <col min="1556" max="1556" width="21" style="1" customWidth="1"/>
    <col min="1557" max="1559" width="0" style="1" hidden="1" customWidth="1"/>
    <col min="1560" max="1560" width="25.85546875" style="1" customWidth="1"/>
    <col min="1561" max="1563" width="0" style="1" hidden="1" customWidth="1"/>
    <col min="1564" max="1564" width="23" style="1" customWidth="1"/>
    <col min="1565" max="1793" width="9.140625" style="1"/>
    <col min="1794" max="1794" width="6.85546875" style="1" customWidth="1"/>
    <col min="1795" max="1795" width="13.140625" style="1" bestFit="1" customWidth="1"/>
    <col min="1796" max="1798" width="0" style="1" hidden="1" customWidth="1"/>
    <col min="1799" max="1799" width="26.85546875" style="1" customWidth="1"/>
    <col min="1800" max="1802" width="0" style="1" hidden="1" customWidth="1"/>
    <col min="1803" max="1803" width="28.7109375" style="1" customWidth="1"/>
    <col min="1804" max="1807" width="0" style="1" hidden="1" customWidth="1"/>
    <col min="1808" max="1808" width="25" style="1" customWidth="1"/>
    <col min="1809" max="1811" width="0" style="1" hidden="1" customWidth="1"/>
    <col min="1812" max="1812" width="21" style="1" customWidth="1"/>
    <col min="1813" max="1815" width="0" style="1" hidden="1" customWidth="1"/>
    <col min="1816" max="1816" width="25.85546875" style="1" customWidth="1"/>
    <col min="1817" max="1819" width="0" style="1" hidden="1" customWidth="1"/>
    <col min="1820" max="1820" width="23" style="1" customWidth="1"/>
    <col min="1821" max="2049" width="9.140625" style="1"/>
    <col min="2050" max="2050" width="6.85546875" style="1" customWidth="1"/>
    <col min="2051" max="2051" width="13.140625" style="1" bestFit="1" customWidth="1"/>
    <col min="2052" max="2054" width="0" style="1" hidden="1" customWidth="1"/>
    <col min="2055" max="2055" width="26.85546875" style="1" customWidth="1"/>
    <col min="2056" max="2058" width="0" style="1" hidden="1" customWidth="1"/>
    <col min="2059" max="2059" width="28.7109375" style="1" customWidth="1"/>
    <col min="2060" max="2063" width="0" style="1" hidden="1" customWidth="1"/>
    <col min="2064" max="2064" width="25" style="1" customWidth="1"/>
    <col min="2065" max="2067" width="0" style="1" hidden="1" customWidth="1"/>
    <col min="2068" max="2068" width="21" style="1" customWidth="1"/>
    <col min="2069" max="2071" width="0" style="1" hidden="1" customWidth="1"/>
    <col min="2072" max="2072" width="25.85546875" style="1" customWidth="1"/>
    <col min="2073" max="2075" width="0" style="1" hidden="1" customWidth="1"/>
    <col min="2076" max="2076" width="23" style="1" customWidth="1"/>
    <col min="2077" max="2305" width="9.140625" style="1"/>
    <col min="2306" max="2306" width="6.85546875" style="1" customWidth="1"/>
    <col min="2307" max="2307" width="13.140625" style="1" bestFit="1" customWidth="1"/>
    <col min="2308" max="2310" width="0" style="1" hidden="1" customWidth="1"/>
    <col min="2311" max="2311" width="26.85546875" style="1" customWidth="1"/>
    <col min="2312" max="2314" width="0" style="1" hidden="1" customWidth="1"/>
    <col min="2315" max="2315" width="28.7109375" style="1" customWidth="1"/>
    <col min="2316" max="2319" width="0" style="1" hidden="1" customWidth="1"/>
    <col min="2320" max="2320" width="25" style="1" customWidth="1"/>
    <col min="2321" max="2323" width="0" style="1" hidden="1" customWidth="1"/>
    <col min="2324" max="2324" width="21" style="1" customWidth="1"/>
    <col min="2325" max="2327" width="0" style="1" hidden="1" customWidth="1"/>
    <col min="2328" max="2328" width="25.85546875" style="1" customWidth="1"/>
    <col min="2329" max="2331" width="0" style="1" hidden="1" customWidth="1"/>
    <col min="2332" max="2332" width="23" style="1" customWidth="1"/>
    <col min="2333" max="2561" width="9.140625" style="1"/>
    <col min="2562" max="2562" width="6.85546875" style="1" customWidth="1"/>
    <col min="2563" max="2563" width="13.140625" style="1" bestFit="1" customWidth="1"/>
    <col min="2564" max="2566" width="0" style="1" hidden="1" customWidth="1"/>
    <col min="2567" max="2567" width="26.85546875" style="1" customWidth="1"/>
    <col min="2568" max="2570" width="0" style="1" hidden="1" customWidth="1"/>
    <col min="2571" max="2571" width="28.7109375" style="1" customWidth="1"/>
    <col min="2572" max="2575" width="0" style="1" hidden="1" customWidth="1"/>
    <col min="2576" max="2576" width="25" style="1" customWidth="1"/>
    <col min="2577" max="2579" width="0" style="1" hidden="1" customWidth="1"/>
    <col min="2580" max="2580" width="21" style="1" customWidth="1"/>
    <col min="2581" max="2583" width="0" style="1" hidden="1" customWidth="1"/>
    <col min="2584" max="2584" width="25.85546875" style="1" customWidth="1"/>
    <col min="2585" max="2587" width="0" style="1" hidden="1" customWidth="1"/>
    <col min="2588" max="2588" width="23" style="1" customWidth="1"/>
    <col min="2589" max="2817" width="9.140625" style="1"/>
    <col min="2818" max="2818" width="6.85546875" style="1" customWidth="1"/>
    <col min="2819" max="2819" width="13.140625" style="1" bestFit="1" customWidth="1"/>
    <col min="2820" max="2822" width="0" style="1" hidden="1" customWidth="1"/>
    <col min="2823" max="2823" width="26.85546875" style="1" customWidth="1"/>
    <col min="2824" max="2826" width="0" style="1" hidden="1" customWidth="1"/>
    <col min="2827" max="2827" width="28.7109375" style="1" customWidth="1"/>
    <col min="2828" max="2831" width="0" style="1" hidden="1" customWidth="1"/>
    <col min="2832" max="2832" width="25" style="1" customWidth="1"/>
    <col min="2833" max="2835" width="0" style="1" hidden="1" customWidth="1"/>
    <col min="2836" max="2836" width="21" style="1" customWidth="1"/>
    <col min="2837" max="2839" width="0" style="1" hidden="1" customWidth="1"/>
    <col min="2840" max="2840" width="25.85546875" style="1" customWidth="1"/>
    <col min="2841" max="2843" width="0" style="1" hidden="1" customWidth="1"/>
    <col min="2844" max="2844" width="23" style="1" customWidth="1"/>
    <col min="2845" max="3073" width="9.140625" style="1"/>
    <col min="3074" max="3074" width="6.85546875" style="1" customWidth="1"/>
    <col min="3075" max="3075" width="13.140625" style="1" bestFit="1" customWidth="1"/>
    <col min="3076" max="3078" width="0" style="1" hidden="1" customWidth="1"/>
    <col min="3079" max="3079" width="26.85546875" style="1" customWidth="1"/>
    <col min="3080" max="3082" width="0" style="1" hidden="1" customWidth="1"/>
    <col min="3083" max="3083" width="28.7109375" style="1" customWidth="1"/>
    <col min="3084" max="3087" width="0" style="1" hidden="1" customWidth="1"/>
    <col min="3088" max="3088" width="25" style="1" customWidth="1"/>
    <col min="3089" max="3091" width="0" style="1" hidden="1" customWidth="1"/>
    <col min="3092" max="3092" width="21" style="1" customWidth="1"/>
    <col min="3093" max="3095" width="0" style="1" hidden="1" customWidth="1"/>
    <col min="3096" max="3096" width="25.85546875" style="1" customWidth="1"/>
    <col min="3097" max="3099" width="0" style="1" hidden="1" customWidth="1"/>
    <col min="3100" max="3100" width="23" style="1" customWidth="1"/>
    <col min="3101" max="3329" width="9.140625" style="1"/>
    <col min="3330" max="3330" width="6.85546875" style="1" customWidth="1"/>
    <col min="3331" max="3331" width="13.140625" style="1" bestFit="1" customWidth="1"/>
    <col min="3332" max="3334" width="0" style="1" hidden="1" customWidth="1"/>
    <col min="3335" max="3335" width="26.85546875" style="1" customWidth="1"/>
    <col min="3336" max="3338" width="0" style="1" hidden="1" customWidth="1"/>
    <col min="3339" max="3339" width="28.7109375" style="1" customWidth="1"/>
    <col min="3340" max="3343" width="0" style="1" hidden="1" customWidth="1"/>
    <col min="3344" max="3344" width="25" style="1" customWidth="1"/>
    <col min="3345" max="3347" width="0" style="1" hidden="1" customWidth="1"/>
    <col min="3348" max="3348" width="21" style="1" customWidth="1"/>
    <col min="3349" max="3351" width="0" style="1" hidden="1" customWidth="1"/>
    <col min="3352" max="3352" width="25.85546875" style="1" customWidth="1"/>
    <col min="3353" max="3355" width="0" style="1" hidden="1" customWidth="1"/>
    <col min="3356" max="3356" width="23" style="1" customWidth="1"/>
    <col min="3357" max="3585" width="9.140625" style="1"/>
    <col min="3586" max="3586" width="6.85546875" style="1" customWidth="1"/>
    <col min="3587" max="3587" width="13.140625" style="1" bestFit="1" customWidth="1"/>
    <col min="3588" max="3590" width="0" style="1" hidden="1" customWidth="1"/>
    <col min="3591" max="3591" width="26.85546875" style="1" customWidth="1"/>
    <col min="3592" max="3594" width="0" style="1" hidden="1" customWidth="1"/>
    <col min="3595" max="3595" width="28.7109375" style="1" customWidth="1"/>
    <col min="3596" max="3599" width="0" style="1" hidden="1" customWidth="1"/>
    <col min="3600" max="3600" width="25" style="1" customWidth="1"/>
    <col min="3601" max="3603" width="0" style="1" hidden="1" customWidth="1"/>
    <col min="3604" max="3604" width="21" style="1" customWidth="1"/>
    <col min="3605" max="3607" width="0" style="1" hidden="1" customWidth="1"/>
    <col min="3608" max="3608" width="25.85546875" style="1" customWidth="1"/>
    <col min="3609" max="3611" width="0" style="1" hidden="1" customWidth="1"/>
    <col min="3612" max="3612" width="23" style="1" customWidth="1"/>
    <col min="3613" max="3841" width="9.140625" style="1"/>
    <col min="3842" max="3842" width="6.85546875" style="1" customWidth="1"/>
    <col min="3843" max="3843" width="13.140625" style="1" bestFit="1" customWidth="1"/>
    <col min="3844" max="3846" width="0" style="1" hidden="1" customWidth="1"/>
    <col min="3847" max="3847" width="26.85546875" style="1" customWidth="1"/>
    <col min="3848" max="3850" width="0" style="1" hidden="1" customWidth="1"/>
    <col min="3851" max="3851" width="28.7109375" style="1" customWidth="1"/>
    <col min="3852" max="3855" width="0" style="1" hidden="1" customWidth="1"/>
    <col min="3856" max="3856" width="25" style="1" customWidth="1"/>
    <col min="3857" max="3859" width="0" style="1" hidden="1" customWidth="1"/>
    <col min="3860" max="3860" width="21" style="1" customWidth="1"/>
    <col min="3861" max="3863" width="0" style="1" hidden="1" customWidth="1"/>
    <col min="3864" max="3864" width="25.85546875" style="1" customWidth="1"/>
    <col min="3865" max="3867" width="0" style="1" hidden="1" customWidth="1"/>
    <col min="3868" max="3868" width="23" style="1" customWidth="1"/>
    <col min="3869" max="4097" width="9.140625" style="1"/>
    <col min="4098" max="4098" width="6.85546875" style="1" customWidth="1"/>
    <col min="4099" max="4099" width="13.140625" style="1" bestFit="1" customWidth="1"/>
    <col min="4100" max="4102" width="0" style="1" hidden="1" customWidth="1"/>
    <col min="4103" max="4103" width="26.85546875" style="1" customWidth="1"/>
    <col min="4104" max="4106" width="0" style="1" hidden="1" customWidth="1"/>
    <col min="4107" max="4107" width="28.7109375" style="1" customWidth="1"/>
    <col min="4108" max="4111" width="0" style="1" hidden="1" customWidth="1"/>
    <col min="4112" max="4112" width="25" style="1" customWidth="1"/>
    <col min="4113" max="4115" width="0" style="1" hidden="1" customWidth="1"/>
    <col min="4116" max="4116" width="21" style="1" customWidth="1"/>
    <col min="4117" max="4119" width="0" style="1" hidden="1" customWidth="1"/>
    <col min="4120" max="4120" width="25.85546875" style="1" customWidth="1"/>
    <col min="4121" max="4123" width="0" style="1" hidden="1" customWidth="1"/>
    <col min="4124" max="4124" width="23" style="1" customWidth="1"/>
    <col min="4125" max="4353" width="9.140625" style="1"/>
    <col min="4354" max="4354" width="6.85546875" style="1" customWidth="1"/>
    <col min="4355" max="4355" width="13.140625" style="1" bestFit="1" customWidth="1"/>
    <col min="4356" max="4358" width="0" style="1" hidden="1" customWidth="1"/>
    <col min="4359" max="4359" width="26.85546875" style="1" customWidth="1"/>
    <col min="4360" max="4362" width="0" style="1" hidden="1" customWidth="1"/>
    <col min="4363" max="4363" width="28.7109375" style="1" customWidth="1"/>
    <col min="4364" max="4367" width="0" style="1" hidden="1" customWidth="1"/>
    <col min="4368" max="4368" width="25" style="1" customWidth="1"/>
    <col min="4369" max="4371" width="0" style="1" hidden="1" customWidth="1"/>
    <col min="4372" max="4372" width="21" style="1" customWidth="1"/>
    <col min="4373" max="4375" width="0" style="1" hidden="1" customWidth="1"/>
    <col min="4376" max="4376" width="25.85546875" style="1" customWidth="1"/>
    <col min="4377" max="4379" width="0" style="1" hidden="1" customWidth="1"/>
    <col min="4380" max="4380" width="23" style="1" customWidth="1"/>
    <col min="4381" max="4609" width="9.140625" style="1"/>
    <col min="4610" max="4610" width="6.85546875" style="1" customWidth="1"/>
    <col min="4611" max="4611" width="13.140625" style="1" bestFit="1" customWidth="1"/>
    <col min="4612" max="4614" width="0" style="1" hidden="1" customWidth="1"/>
    <col min="4615" max="4615" width="26.85546875" style="1" customWidth="1"/>
    <col min="4616" max="4618" width="0" style="1" hidden="1" customWidth="1"/>
    <col min="4619" max="4619" width="28.7109375" style="1" customWidth="1"/>
    <col min="4620" max="4623" width="0" style="1" hidden="1" customWidth="1"/>
    <col min="4624" max="4624" width="25" style="1" customWidth="1"/>
    <col min="4625" max="4627" width="0" style="1" hidden="1" customWidth="1"/>
    <col min="4628" max="4628" width="21" style="1" customWidth="1"/>
    <col min="4629" max="4631" width="0" style="1" hidden="1" customWidth="1"/>
    <col min="4632" max="4632" width="25.85546875" style="1" customWidth="1"/>
    <col min="4633" max="4635" width="0" style="1" hidden="1" customWidth="1"/>
    <col min="4636" max="4636" width="23" style="1" customWidth="1"/>
    <col min="4637" max="4865" width="9.140625" style="1"/>
    <col min="4866" max="4866" width="6.85546875" style="1" customWidth="1"/>
    <col min="4867" max="4867" width="13.140625" style="1" bestFit="1" customWidth="1"/>
    <col min="4868" max="4870" width="0" style="1" hidden="1" customWidth="1"/>
    <col min="4871" max="4871" width="26.85546875" style="1" customWidth="1"/>
    <col min="4872" max="4874" width="0" style="1" hidden="1" customWidth="1"/>
    <col min="4875" max="4875" width="28.7109375" style="1" customWidth="1"/>
    <col min="4876" max="4879" width="0" style="1" hidden="1" customWidth="1"/>
    <col min="4880" max="4880" width="25" style="1" customWidth="1"/>
    <col min="4881" max="4883" width="0" style="1" hidden="1" customWidth="1"/>
    <col min="4884" max="4884" width="21" style="1" customWidth="1"/>
    <col min="4885" max="4887" width="0" style="1" hidden="1" customWidth="1"/>
    <col min="4888" max="4888" width="25.85546875" style="1" customWidth="1"/>
    <col min="4889" max="4891" width="0" style="1" hidden="1" customWidth="1"/>
    <col min="4892" max="4892" width="23" style="1" customWidth="1"/>
    <col min="4893" max="5121" width="9.140625" style="1"/>
    <col min="5122" max="5122" width="6.85546875" style="1" customWidth="1"/>
    <col min="5123" max="5123" width="13.140625" style="1" bestFit="1" customWidth="1"/>
    <col min="5124" max="5126" width="0" style="1" hidden="1" customWidth="1"/>
    <col min="5127" max="5127" width="26.85546875" style="1" customWidth="1"/>
    <col min="5128" max="5130" width="0" style="1" hidden="1" customWidth="1"/>
    <col min="5131" max="5131" width="28.7109375" style="1" customWidth="1"/>
    <col min="5132" max="5135" width="0" style="1" hidden="1" customWidth="1"/>
    <col min="5136" max="5136" width="25" style="1" customWidth="1"/>
    <col min="5137" max="5139" width="0" style="1" hidden="1" customWidth="1"/>
    <col min="5140" max="5140" width="21" style="1" customWidth="1"/>
    <col min="5141" max="5143" width="0" style="1" hidden="1" customWidth="1"/>
    <col min="5144" max="5144" width="25.85546875" style="1" customWidth="1"/>
    <col min="5145" max="5147" width="0" style="1" hidden="1" customWidth="1"/>
    <col min="5148" max="5148" width="23" style="1" customWidth="1"/>
    <col min="5149" max="5377" width="9.140625" style="1"/>
    <col min="5378" max="5378" width="6.85546875" style="1" customWidth="1"/>
    <col min="5379" max="5379" width="13.140625" style="1" bestFit="1" customWidth="1"/>
    <col min="5380" max="5382" width="0" style="1" hidden="1" customWidth="1"/>
    <col min="5383" max="5383" width="26.85546875" style="1" customWidth="1"/>
    <col min="5384" max="5386" width="0" style="1" hidden="1" customWidth="1"/>
    <col min="5387" max="5387" width="28.7109375" style="1" customWidth="1"/>
    <col min="5388" max="5391" width="0" style="1" hidden="1" customWidth="1"/>
    <col min="5392" max="5392" width="25" style="1" customWidth="1"/>
    <col min="5393" max="5395" width="0" style="1" hidden="1" customWidth="1"/>
    <col min="5396" max="5396" width="21" style="1" customWidth="1"/>
    <col min="5397" max="5399" width="0" style="1" hidden="1" customWidth="1"/>
    <col min="5400" max="5400" width="25.85546875" style="1" customWidth="1"/>
    <col min="5401" max="5403" width="0" style="1" hidden="1" customWidth="1"/>
    <col min="5404" max="5404" width="23" style="1" customWidth="1"/>
    <col min="5405" max="5633" width="9.140625" style="1"/>
    <col min="5634" max="5634" width="6.85546875" style="1" customWidth="1"/>
    <col min="5635" max="5635" width="13.140625" style="1" bestFit="1" customWidth="1"/>
    <col min="5636" max="5638" width="0" style="1" hidden="1" customWidth="1"/>
    <col min="5639" max="5639" width="26.85546875" style="1" customWidth="1"/>
    <col min="5640" max="5642" width="0" style="1" hidden="1" customWidth="1"/>
    <col min="5643" max="5643" width="28.7109375" style="1" customWidth="1"/>
    <col min="5644" max="5647" width="0" style="1" hidden="1" customWidth="1"/>
    <col min="5648" max="5648" width="25" style="1" customWidth="1"/>
    <col min="5649" max="5651" width="0" style="1" hidden="1" customWidth="1"/>
    <col min="5652" max="5652" width="21" style="1" customWidth="1"/>
    <col min="5653" max="5655" width="0" style="1" hidden="1" customWidth="1"/>
    <col min="5656" max="5656" width="25.85546875" style="1" customWidth="1"/>
    <col min="5657" max="5659" width="0" style="1" hidden="1" customWidth="1"/>
    <col min="5660" max="5660" width="23" style="1" customWidth="1"/>
    <col min="5661" max="5889" width="9.140625" style="1"/>
    <col min="5890" max="5890" width="6.85546875" style="1" customWidth="1"/>
    <col min="5891" max="5891" width="13.140625" style="1" bestFit="1" customWidth="1"/>
    <col min="5892" max="5894" width="0" style="1" hidden="1" customWidth="1"/>
    <col min="5895" max="5895" width="26.85546875" style="1" customWidth="1"/>
    <col min="5896" max="5898" width="0" style="1" hidden="1" customWidth="1"/>
    <col min="5899" max="5899" width="28.7109375" style="1" customWidth="1"/>
    <col min="5900" max="5903" width="0" style="1" hidden="1" customWidth="1"/>
    <col min="5904" max="5904" width="25" style="1" customWidth="1"/>
    <col min="5905" max="5907" width="0" style="1" hidden="1" customWidth="1"/>
    <col min="5908" max="5908" width="21" style="1" customWidth="1"/>
    <col min="5909" max="5911" width="0" style="1" hidden="1" customWidth="1"/>
    <col min="5912" max="5912" width="25.85546875" style="1" customWidth="1"/>
    <col min="5913" max="5915" width="0" style="1" hidden="1" customWidth="1"/>
    <col min="5916" max="5916" width="23" style="1" customWidth="1"/>
    <col min="5917" max="6145" width="9.140625" style="1"/>
    <col min="6146" max="6146" width="6.85546875" style="1" customWidth="1"/>
    <col min="6147" max="6147" width="13.140625" style="1" bestFit="1" customWidth="1"/>
    <col min="6148" max="6150" width="0" style="1" hidden="1" customWidth="1"/>
    <col min="6151" max="6151" width="26.85546875" style="1" customWidth="1"/>
    <col min="6152" max="6154" width="0" style="1" hidden="1" customWidth="1"/>
    <col min="6155" max="6155" width="28.7109375" style="1" customWidth="1"/>
    <col min="6156" max="6159" width="0" style="1" hidden="1" customWidth="1"/>
    <col min="6160" max="6160" width="25" style="1" customWidth="1"/>
    <col min="6161" max="6163" width="0" style="1" hidden="1" customWidth="1"/>
    <col min="6164" max="6164" width="21" style="1" customWidth="1"/>
    <col min="6165" max="6167" width="0" style="1" hidden="1" customWidth="1"/>
    <col min="6168" max="6168" width="25.85546875" style="1" customWidth="1"/>
    <col min="6169" max="6171" width="0" style="1" hidden="1" customWidth="1"/>
    <col min="6172" max="6172" width="23" style="1" customWidth="1"/>
    <col min="6173" max="6401" width="9.140625" style="1"/>
    <col min="6402" max="6402" width="6.85546875" style="1" customWidth="1"/>
    <col min="6403" max="6403" width="13.140625" style="1" bestFit="1" customWidth="1"/>
    <col min="6404" max="6406" width="0" style="1" hidden="1" customWidth="1"/>
    <col min="6407" max="6407" width="26.85546875" style="1" customWidth="1"/>
    <col min="6408" max="6410" width="0" style="1" hidden="1" customWidth="1"/>
    <col min="6411" max="6411" width="28.7109375" style="1" customWidth="1"/>
    <col min="6412" max="6415" width="0" style="1" hidden="1" customWidth="1"/>
    <col min="6416" max="6416" width="25" style="1" customWidth="1"/>
    <col min="6417" max="6419" width="0" style="1" hidden="1" customWidth="1"/>
    <col min="6420" max="6420" width="21" style="1" customWidth="1"/>
    <col min="6421" max="6423" width="0" style="1" hidden="1" customWidth="1"/>
    <col min="6424" max="6424" width="25.85546875" style="1" customWidth="1"/>
    <col min="6425" max="6427" width="0" style="1" hidden="1" customWidth="1"/>
    <col min="6428" max="6428" width="23" style="1" customWidth="1"/>
    <col min="6429" max="6657" width="9.140625" style="1"/>
    <col min="6658" max="6658" width="6.85546875" style="1" customWidth="1"/>
    <col min="6659" max="6659" width="13.140625" style="1" bestFit="1" customWidth="1"/>
    <col min="6660" max="6662" width="0" style="1" hidden="1" customWidth="1"/>
    <col min="6663" max="6663" width="26.85546875" style="1" customWidth="1"/>
    <col min="6664" max="6666" width="0" style="1" hidden="1" customWidth="1"/>
    <col min="6667" max="6667" width="28.7109375" style="1" customWidth="1"/>
    <col min="6668" max="6671" width="0" style="1" hidden="1" customWidth="1"/>
    <col min="6672" max="6672" width="25" style="1" customWidth="1"/>
    <col min="6673" max="6675" width="0" style="1" hidden="1" customWidth="1"/>
    <col min="6676" max="6676" width="21" style="1" customWidth="1"/>
    <col min="6677" max="6679" width="0" style="1" hidden="1" customWidth="1"/>
    <col min="6680" max="6680" width="25.85546875" style="1" customWidth="1"/>
    <col min="6681" max="6683" width="0" style="1" hidden="1" customWidth="1"/>
    <col min="6684" max="6684" width="23" style="1" customWidth="1"/>
    <col min="6685" max="6913" width="9.140625" style="1"/>
    <col min="6914" max="6914" width="6.85546875" style="1" customWidth="1"/>
    <col min="6915" max="6915" width="13.140625" style="1" bestFit="1" customWidth="1"/>
    <col min="6916" max="6918" width="0" style="1" hidden="1" customWidth="1"/>
    <col min="6919" max="6919" width="26.85546875" style="1" customWidth="1"/>
    <col min="6920" max="6922" width="0" style="1" hidden="1" customWidth="1"/>
    <col min="6923" max="6923" width="28.7109375" style="1" customWidth="1"/>
    <col min="6924" max="6927" width="0" style="1" hidden="1" customWidth="1"/>
    <col min="6928" max="6928" width="25" style="1" customWidth="1"/>
    <col min="6929" max="6931" width="0" style="1" hidden="1" customWidth="1"/>
    <col min="6932" max="6932" width="21" style="1" customWidth="1"/>
    <col min="6933" max="6935" width="0" style="1" hidden="1" customWidth="1"/>
    <col min="6936" max="6936" width="25.85546875" style="1" customWidth="1"/>
    <col min="6937" max="6939" width="0" style="1" hidden="1" customWidth="1"/>
    <col min="6940" max="6940" width="23" style="1" customWidth="1"/>
    <col min="6941" max="7169" width="9.140625" style="1"/>
    <col min="7170" max="7170" width="6.85546875" style="1" customWidth="1"/>
    <col min="7171" max="7171" width="13.140625" style="1" bestFit="1" customWidth="1"/>
    <col min="7172" max="7174" width="0" style="1" hidden="1" customWidth="1"/>
    <col min="7175" max="7175" width="26.85546875" style="1" customWidth="1"/>
    <col min="7176" max="7178" width="0" style="1" hidden="1" customWidth="1"/>
    <col min="7179" max="7179" width="28.7109375" style="1" customWidth="1"/>
    <col min="7180" max="7183" width="0" style="1" hidden="1" customWidth="1"/>
    <col min="7184" max="7184" width="25" style="1" customWidth="1"/>
    <col min="7185" max="7187" width="0" style="1" hidden="1" customWidth="1"/>
    <col min="7188" max="7188" width="21" style="1" customWidth="1"/>
    <col min="7189" max="7191" width="0" style="1" hidden="1" customWidth="1"/>
    <col min="7192" max="7192" width="25.85546875" style="1" customWidth="1"/>
    <col min="7193" max="7195" width="0" style="1" hidden="1" customWidth="1"/>
    <col min="7196" max="7196" width="23" style="1" customWidth="1"/>
    <col min="7197" max="7425" width="9.140625" style="1"/>
    <col min="7426" max="7426" width="6.85546875" style="1" customWidth="1"/>
    <col min="7427" max="7427" width="13.140625" style="1" bestFit="1" customWidth="1"/>
    <col min="7428" max="7430" width="0" style="1" hidden="1" customWidth="1"/>
    <col min="7431" max="7431" width="26.85546875" style="1" customWidth="1"/>
    <col min="7432" max="7434" width="0" style="1" hidden="1" customWidth="1"/>
    <col min="7435" max="7435" width="28.7109375" style="1" customWidth="1"/>
    <col min="7436" max="7439" width="0" style="1" hidden="1" customWidth="1"/>
    <col min="7440" max="7440" width="25" style="1" customWidth="1"/>
    <col min="7441" max="7443" width="0" style="1" hidden="1" customWidth="1"/>
    <col min="7444" max="7444" width="21" style="1" customWidth="1"/>
    <col min="7445" max="7447" width="0" style="1" hidden="1" customWidth="1"/>
    <col min="7448" max="7448" width="25.85546875" style="1" customWidth="1"/>
    <col min="7449" max="7451" width="0" style="1" hidden="1" customWidth="1"/>
    <col min="7452" max="7452" width="23" style="1" customWidth="1"/>
    <col min="7453" max="7681" width="9.140625" style="1"/>
    <col min="7682" max="7682" width="6.85546875" style="1" customWidth="1"/>
    <col min="7683" max="7683" width="13.140625" style="1" bestFit="1" customWidth="1"/>
    <col min="7684" max="7686" width="0" style="1" hidden="1" customWidth="1"/>
    <col min="7687" max="7687" width="26.85546875" style="1" customWidth="1"/>
    <col min="7688" max="7690" width="0" style="1" hidden="1" customWidth="1"/>
    <col min="7691" max="7691" width="28.7109375" style="1" customWidth="1"/>
    <col min="7692" max="7695" width="0" style="1" hidden="1" customWidth="1"/>
    <col min="7696" max="7696" width="25" style="1" customWidth="1"/>
    <col min="7697" max="7699" width="0" style="1" hidden="1" customWidth="1"/>
    <col min="7700" max="7700" width="21" style="1" customWidth="1"/>
    <col min="7701" max="7703" width="0" style="1" hidden="1" customWidth="1"/>
    <col min="7704" max="7704" width="25.85546875" style="1" customWidth="1"/>
    <col min="7705" max="7707" width="0" style="1" hidden="1" customWidth="1"/>
    <col min="7708" max="7708" width="23" style="1" customWidth="1"/>
    <col min="7709" max="7937" width="9.140625" style="1"/>
    <col min="7938" max="7938" width="6.85546875" style="1" customWidth="1"/>
    <col min="7939" max="7939" width="13.140625" style="1" bestFit="1" customWidth="1"/>
    <col min="7940" max="7942" width="0" style="1" hidden="1" customWidth="1"/>
    <col min="7943" max="7943" width="26.85546875" style="1" customWidth="1"/>
    <col min="7944" max="7946" width="0" style="1" hidden="1" customWidth="1"/>
    <col min="7947" max="7947" width="28.7109375" style="1" customWidth="1"/>
    <col min="7948" max="7951" width="0" style="1" hidden="1" customWidth="1"/>
    <col min="7952" max="7952" width="25" style="1" customWidth="1"/>
    <col min="7953" max="7955" width="0" style="1" hidden="1" customWidth="1"/>
    <col min="7956" max="7956" width="21" style="1" customWidth="1"/>
    <col min="7957" max="7959" width="0" style="1" hidden="1" customWidth="1"/>
    <col min="7960" max="7960" width="25.85546875" style="1" customWidth="1"/>
    <col min="7961" max="7963" width="0" style="1" hidden="1" customWidth="1"/>
    <col min="7964" max="7964" width="23" style="1" customWidth="1"/>
    <col min="7965" max="8193" width="9.140625" style="1"/>
    <col min="8194" max="8194" width="6.85546875" style="1" customWidth="1"/>
    <col min="8195" max="8195" width="13.140625" style="1" bestFit="1" customWidth="1"/>
    <col min="8196" max="8198" width="0" style="1" hidden="1" customWidth="1"/>
    <col min="8199" max="8199" width="26.85546875" style="1" customWidth="1"/>
    <col min="8200" max="8202" width="0" style="1" hidden="1" customWidth="1"/>
    <col min="8203" max="8203" width="28.7109375" style="1" customWidth="1"/>
    <col min="8204" max="8207" width="0" style="1" hidden="1" customWidth="1"/>
    <col min="8208" max="8208" width="25" style="1" customWidth="1"/>
    <col min="8209" max="8211" width="0" style="1" hidden="1" customWidth="1"/>
    <col min="8212" max="8212" width="21" style="1" customWidth="1"/>
    <col min="8213" max="8215" width="0" style="1" hidden="1" customWidth="1"/>
    <col min="8216" max="8216" width="25.85546875" style="1" customWidth="1"/>
    <col min="8217" max="8219" width="0" style="1" hidden="1" customWidth="1"/>
    <col min="8220" max="8220" width="23" style="1" customWidth="1"/>
    <col min="8221" max="8449" width="9.140625" style="1"/>
    <col min="8450" max="8450" width="6.85546875" style="1" customWidth="1"/>
    <col min="8451" max="8451" width="13.140625" style="1" bestFit="1" customWidth="1"/>
    <col min="8452" max="8454" width="0" style="1" hidden="1" customWidth="1"/>
    <col min="8455" max="8455" width="26.85546875" style="1" customWidth="1"/>
    <col min="8456" max="8458" width="0" style="1" hidden="1" customWidth="1"/>
    <col min="8459" max="8459" width="28.7109375" style="1" customWidth="1"/>
    <col min="8460" max="8463" width="0" style="1" hidden="1" customWidth="1"/>
    <col min="8464" max="8464" width="25" style="1" customWidth="1"/>
    <col min="8465" max="8467" width="0" style="1" hidden="1" customWidth="1"/>
    <col min="8468" max="8468" width="21" style="1" customWidth="1"/>
    <col min="8469" max="8471" width="0" style="1" hidden="1" customWidth="1"/>
    <col min="8472" max="8472" width="25.85546875" style="1" customWidth="1"/>
    <col min="8473" max="8475" width="0" style="1" hidden="1" customWidth="1"/>
    <col min="8476" max="8476" width="23" style="1" customWidth="1"/>
    <col min="8477" max="8705" width="9.140625" style="1"/>
    <col min="8706" max="8706" width="6.85546875" style="1" customWidth="1"/>
    <col min="8707" max="8707" width="13.140625" style="1" bestFit="1" customWidth="1"/>
    <col min="8708" max="8710" width="0" style="1" hidden="1" customWidth="1"/>
    <col min="8711" max="8711" width="26.85546875" style="1" customWidth="1"/>
    <col min="8712" max="8714" width="0" style="1" hidden="1" customWidth="1"/>
    <col min="8715" max="8715" width="28.7109375" style="1" customWidth="1"/>
    <col min="8716" max="8719" width="0" style="1" hidden="1" customWidth="1"/>
    <col min="8720" max="8720" width="25" style="1" customWidth="1"/>
    <col min="8721" max="8723" width="0" style="1" hidden="1" customWidth="1"/>
    <col min="8724" max="8724" width="21" style="1" customWidth="1"/>
    <col min="8725" max="8727" width="0" style="1" hidden="1" customWidth="1"/>
    <col min="8728" max="8728" width="25.85546875" style="1" customWidth="1"/>
    <col min="8729" max="8731" width="0" style="1" hidden="1" customWidth="1"/>
    <col min="8732" max="8732" width="23" style="1" customWidth="1"/>
    <col min="8733" max="8961" width="9.140625" style="1"/>
    <col min="8962" max="8962" width="6.85546875" style="1" customWidth="1"/>
    <col min="8963" max="8963" width="13.140625" style="1" bestFit="1" customWidth="1"/>
    <col min="8964" max="8966" width="0" style="1" hidden="1" customWidth="1"/>
    <col min="8967" max="8967" width="26.85546875" style="1" customWidth="1"/>
    <col min="8968" max="8970" width="0" style="1" hidden="1" customWidth="1"/>
    <col min="8971" max="8971" width="28.7109375" style="1" customWidth="1"/>
    <col min="8972" max="8975" width="0" style="1" hidden="1" customWidth="1"/>
    <col min="8976" max="8976" width="25" style="1" customWidth="1"/>
    <col min="8977" max="8979" width="0" style="1" hidden="1" customWidth="1"/>
    <col min="8980" max="8980" width="21" style="1" customWidth="1"/>
    <col min="8981" max="8983" width="0" style="1" hidden="1" customWidth="1"/>
    <col min="8984" max="8984" width="25.85546875" style="1" customWidth="1"/>
    <col min="8985" max="8987" width="0" style="1" hidden="1" customWidth="1"/>
    <col min="8988" max="8988" width="23" style="1" customWidth="1"/>
    <col min="8989" max="9217" width="9.140625" style="1"/>
    <col min="9218" max="9218" width="6.85546875" style="1" customWidth="1"/>
    <col min="9219" max="9219" width="13.140625" style="1" bestFit="1" customWidth="1"/>
    <col min="9220" max="9222" width="0" style="1" hidden="1" customWidth="1"/>
    <col min="9223" max="9223" width="26.85546875" style="1" customWidth="1"/>
    <col min="9224" max="9226" width="0" style="1" hidden="1" customWidth="1"/>
    <col min="9227" max="9227" width="28.7109375" style="1" customWidth="1"/>
    <col min="9228" max="9231" width="0" style="1" hidden="1" customWidth="1"/>
    <col min="9232" max="9232" width="25" style="1" customWidth="1"/>
    <col min="9233" max="9235" width="0" style="1" hidden="1" customWidth="1"/>
    <col min="9236" max="9236" width="21" style="1" customWidth="1"/>
    <col min="9237" max="9239" width="0" style="1" hidden="1" customWidth="1"/>
    <col min="9240" max="9240" width="25.85546875" style="1" customWidth="1"/>
    <col min="9241" max="9243" width="0" style="1" hidden="1" customWidth="1"/>
    <col min="9244" max="9244" width="23" style="1" customWidth="1"/>
    <col min="9245" max="9473" width="9.140625" style="1"/>
    <col min="9474" max="9474" width="6.85546875" style="1" customWidth="1"/>
    <col min="9475" max="9475" width="13.140625" style="1" bestFit="1" customWidth="1"/>
    <col min="9476" max="9478" width="0" style="1" hidden="1" customWidth="1"/>
    <col min="9479" max="9479" width="26.85546875" style="1" customWidth="1"/>
    <col min="9480" max="9482" width="0" style="1" hidden="1" customWidth="1"/>
    <col min="9483" max="9483" width="28.7109375" style="1" customWidth="1"/>
    <col min="9484" max="9487" width="0" style="1" hidden="1" customWidth="1"/>
    <col min="9488" max="9488" width="25" style="1" customWidth="1"/>
    <col min="9489" max="9491" width="0" style="1" hidden="1" customWidth="1"/>
    <col min="9492" max="9492" width="21" style="1" customWidth="1"/>
    <col min="9493" max="9495" width="0" style="1" hidden="1" customWidth="1"/>
    <col min="9496" max="9496" width="25.85546875" style="1" customWidth="1"/>
    <col min="9497" max="9499" width="0" style="1" hidden="1" customWidth="1"/>
    <col min="9500" max="9500" width="23" style="1" customWidth="1"/>
    <col min="9501" max="9729" width="9.140625" style="1"/>
    <col min="9730" max="9730" width="6.85546875" style="1" customWidth="1"/>
    <col min="9731" max="9731" width="13.140625" style="1" bestFit="1" customWidth="1"/>
    <col min="9732" max="9734" width="0" style="1" hidden="1" customWidth="1"/>
    <col min="9735" max="9735" width="26.85546875" style="1" customWidth="1"/>
    <col min="9736" max="9738" width="0" style="1" hidden="1" customWidth="1"/>
    <col min="9739" max="9739" width="28.7109375" style="1" customWidth="1"/>
    <col min="9740" max="9743" width="0" style="1" hidden="1" customWidth="1"/>
    <col min="9744" max="9744" width="25" style="1" customWidth="1"/>
    <col min="9745" max="9747" width="0" style="1" hidden="1" customWidth="1"/>
    <col min="9748" max="9748" width="21" style="1" customWidth="1"/>
    <col min="9749" max="9751" width="0" style="1" hidden="1" customWidth="1"/>
    <col min="9752" max="9752" width="25.85546875" style="1" customWidth="1"/>
    <col min="9753" max="9755" width="0" style="1" hidden="1" customWidth="1"/>
    <col min="9756" max="9756" width="23" style="1" customWidth="1"/>
    <col min="9757" max="9985" width="9.140625" style="1"/>
    <col min="9986" max="9986" width="6.85546875" style="1" customWidth="1"/>
    <col min="9987" max="9987" width="13.140625" style="1" bestFit="1" customWidth="1"/>
    <col min="9988" max="9990" width="0" style="1" hidden="1" customWidth="1"/>
    <col min="9991" max="9991" width="26.85546875" style="1" customWidth="1"/>
    <col min="9992" max="9994" width="0" style="1" hidden="1" customWidth="1"/>
    <col min="9995" max="9995" width="28.7109375" style="1" customWidth="1"/>
    <col min="9996" max="9999" width="0" style="1" hidden="1" customWidth="1"/>
    <col min="10000" max="10000" width="25" style="1" customWidth="1"/>
    <col min="10001" max="10003" width="0" style="1" hidden="1" customWidth="1"/>
    <col min="10004" max="10004" width="21" style="1" customWidth="1"/>
    <col min="10005" max="10007" width="0" style="1" hidden="1" customWidth="1"/>
    <col min="10008" max="10008" width="25.85546875" style="1" customWidth="1"/>
    <col min="10009" max="10011" width="0" style="1" hidden="1" customWidth="1"/>
    <col min="10012" max="10012" width="23" style="1" customWidth="1"/>
    <col min="10013" max="10241" width="9.140625" style="1"/>
    <col min="10242" max="10242" width="6.85546875" style="1" customWidth="1"/>
    <col min="10243" max="10243" width="13.140625" style="1" bestFit="1" customWidth="1"/>
    <col min="10244" max="10246" width="0" style="1" hidden="1" customWidth="1"/>
    <col min="10247" max="10247" width="26.85546875" style="1" customWidth="1"/>
    <col min="10248" max="10250" width="0" style="1" hidden="1" customWidth="1"/>
    <col min="10251" max="10251" width="28.7109375" style="1" customWidth="1"/>
    <col min="10252" max="10255" width="0" style="1" hidden="1" customWidth="1"/>
    <col min="10256" max="10256" width="25" style="1" customWidth="1"/>
    <col min="10257" max="10259" width="0" style="1" hidden="1" customWidth="1"/>
    <col min="10260" max="10260" width="21" style="1" customWidth="1"/>
    <col min="10261" max="10263" width="0" style="1" hidden="1" customWidth="1"/>
    <col min="10264" max="10264" width="25.85546875" style="1" customWidth="1"/>
    <col min="10265" max="10267" width="0" style="1" hidden="1" customWidth="1"/>
    <col min="10268" max="10268" width="23" style="1" customWidth="1"/>
    <col min="10269" max="10497" width="9.140625" style="1"/>
    <col min="10498" max="10498" width="6.85546875" style="1" customWidth="1"/>
    <col min="10499" max="10499" width="13.140625" style="1" bestFit="1" customWidth="1"/>
    <col min="10500" max="10502" width="0" style="1" hidden="1" customWidth="1"/>
    <col min="10503" max="10503" width="26.85546875" style="1" customWidth="1"/>
    <col min="10504" max="10506" width="0" style="1" hidden="1" customWidth="1"/>
    <col min="10507" max="10507" width="28.7109375" style="1" customWidth="1"/>
    <col min="10508" max="10511" width="0" style="1" hidden="1" customWidth="1"/>
    <col min="10512" max="10512" width="25" style="1" customWidth="1"/>
    <col min="10513" max="10515" width="0" style="1" hidden="1" customWidth="1"/>
    <col min="10516" max="10516" width="21" style="1" customWidth="1"/>
    <col min="10517" max="10519" width="0" style="1" hidden="1" customWidth="1"/>
    <col min="10520" max="10520" width="25.85546875" style="1" customWidth="1"/>
    <col min="10521" max="10523" width="0" style="1" hidden="1" customWidth="1"/>
    <col min="10524" max="10524" width="23" style="1" customWidth="1"/>
    <col min="10525" max="10753" width="9.140625" style="1"/>
    <col min="10754" max="10754" width="6.85546875" style="1" customWidth="1"/>
    <col min="10755" max="10755" width="13.140625" style="1" bestFit="1" customWidth="1"/>
    <col min="10756" max="10758" width="0" style="1" hidden="1" customWidth="1"/>
    <col min="10759" max="10759" width="26.85546875" style="1" customWidth="1"/>
    <col min="10760" max="10762" width="0" style="1" hidden="1" customWidth="1"/>
    <col min="10763" max="10763" width="28.7109375" style="1" customWidth="1"/>
    <col min="10764" max="10767" width="0" style="1" hidden="1" customWidth="1"/>
    <col min="10768" max="10768" width="25" style="1" customWidth="1"/>
    <col min="10769" max="10771" width="0" style="1" hidden="1" customWidth="1"/>
    <col min="10772" max="10772" width="21" style="1" customWidth="1"/>
    <col min="10773" max="10775" width="0" style="1" hidden="1" customWidth="1"/>
    <col min="10776" max="10776" width="25.85546875" style="1" customWidth="1"/>
    <col min="10777" max="10779" width="0" style="1" hidden="1" customWidth="1"/>
    <col min="10780" max="10780" width="23" style="1" customWidth="1"/>
    <col min="10781" max="11009" width="9.140625" style="1"/>
    <col min="11010" max="11010" width="6.85546875" style="1" customWidth="1"/>
    <col min="11011" max="11011" width="13.140625" style="1" bestFit="1" customWidth="1"/>
    <col min="11012" max="11014" width="0" style="1" hidden="1" customWidth="1"/>
    <col min="11015" max="11015" width="26.85546875" style="1" customWidth="1"/>
    <col min="11016" max="11018" width="0" style="1" hidden="1" customWidth="1"/>
    <col min="11019" max="11019" width="28.7109375" style="1" customWidth="1"/>
    <col min="11020" max="11023" width="0" style="1" hidden="1" customWidth="1"/>
    <col min="11024" max="11024" width="25" style="1" customWidth="1"/>
    <col min="11025" max="11027" width="0" style="1" hidden="1" customWidth="1"/>
    <col min="11028" max="11028" width="21" style="1" customWidth="1"/>
    <col min="11029" max="11031" width="0" style="1" hidden="1" customWidth="1"/>
    <col min="11032" max="11032" width="25.85546875" style="1" customWidth="1"/>
    <col min="11033" max="11035" width="0" style="1" hidden="1" customWidth="1"/>
    <col min="11036" max="11036" width="23" style="1" customWidth="1"/>
    <col min="11037" max="11265" width="9.140625" style="1"/>
    <col min="11266" max="11266" width="6.85546875" style="1" customWidth="1"/>
    <col min="11267" max="11267" width="13.140625" style="1" bestFit="1" customWidth="1"/>
    <col min="11268" max="11270" width="0" style="1" hidden="1" customWidth="1"/>
    <col min="11271" max="11271" width="26.85546875" style="1" customWidth="1"/>
    <col min="11272" max="11274" width="0" style="1" hidden="1" customWidth="1"/>
    <col min="11275" max="11275" width="28.7109375" style="1" customWidth="1"/>
    <col min="11276" max="11279" width="0" style="1" hidden="1" customWidth="1"/>
    <col min="11280" max="11280" width="25" style="1" customWidth="1"/>
    <col min="11281" max="11283" width="0" style="1" hidden="1" customWidth="1"/>
    <col min="11284" max="11284" width="21" style="1" customWidth="1"/>
    <col min="11285" max="11287" width="0" style="1" hidden="1" customWidth="1"/>
    <col min="11288" max="11288" width="25.85546875" style="1" customWidth="1"/>
    <col min="11289" max="11291" width="0" style="1" hidden="1" customWidth="1"/>
    <col min="11292" max="11292" width="23" style="1" customWidth="1"/>
    <col min="11293" max="11521" width="9.140625" style="1"/>
    <col min="11522" max="11522" width="6.85546875" style="1" customWidth="1"/>
    <col min="11523" max="11523" width="13.140625" style="1" bestFit="1" customWidth="1"/>
    <col min="11524" max="11526" width="0" style="1" hidden="1" customWidth="1"/>
    <col min="11527" max="11527" width="26.85546875" style="1" customWidth="1"/>
    <col min="11528" max="11530" width="0" style="1" hidden="1" customWidth="1"/>
    <col min="11531" max="11531" width="28.7109375" style="1" customWidth="1"/>
    <col min="11532" max="11535" width="0" style="1" hidden="1" customWidth="1"/>
    <col min="11536" max="11536" width="25" style="1" customWidth="1"/>
    <col min="11537" max="11539" width="0" style="1" hidden="1" customWidth="1"/>
    <col min="11540" max="11540" width="21" style="1" customWidth="1"/>
    <col min="11541" max="11543" width="0" style="1" hidden="1" customWidth="1"/>
    <col min="11544" max="11544" width="25.85546875" style="1" customWidth="1"/>
    <col min="11545" max="11547" width="0" style="1" hidden="1" customWidth="1"/>
    <col min="11548" max="11548" width="23" style="1" customWidth="1"/>
    <col min="11549" max="11777" width="9.140625" style="1"/>
    <col min="11778" max="11778" width="6.85546875" style="1" customWidth="1"/>
    <col min="11779" max="11779" width="13.140625" style="1" bestFit="1" customWidth="1"/>
    <col min="11780" max="11782" width="0" style="1" hidden="1" customWidth="1"/>
    <col min="11783" max="11783" width="26.85546875" style="1" customWidth="1"/>
    <col min="11784" max="11786" width="0" style="1" hidden="1" customWidth="1"/>
    <col min="11787" max="11787" width="28.7109375" style="1" customWidth="1"/>
    <col min="11788" max="11791" width="0" style="1" hidden="1" customWidth="1"/>
    <col min="11792" max="11792" width="25" style="1" customWidth="1"/>
    <col min="11793" max="11795" width="0" style="1" hidden="1" customWidth="1"/>
    <col min="11796" max="11796" width="21" style="1" customWidth="1"/>
    <col min="11797" max="11799" width="0" style="1" hidden="1" customWidth="1"/>
    <col min="11800" max="11800" width="25.85546875" style="1" customWidth="1"/>
    <col min="11801" max="11803" width="0" style="1" hidden="1" customWidth="1"/>
    <col min="11804" max="11804" width="23" style="1" customWidth="1"/>
    <col min="11805" max="12033" width="9.140625" style="1"/>
    <col min="12034" max="12034" width="6.85546875" style="1" customWidth="1"/>
    <col min="12035" max="12035" width="13.140625" style="1" bestFit="1" customWidth="1"/>
    <col min="12036" max="12038" width="0" style="1" hidden="1" customWidth="1"/>
    <col min="12039" max="12039" width="26.85546875" style="1" customWidth="1"/>
    <col min="12040" max="12042" width="0" style="1" hidden="1" customWidth="1"/>
    <col min="12043" max="12043" width="28.7109375" style="1" customWidth="1"/>
    <col min="12044" max="12047" width="0" style="1" hidden="1" customWidth="1"/>
    <col min="12048" max="12048" width="25" style="1" customWidth="1"/>
    <col min="12049" max="12051" width="0" style="1" hidden="1" customWidth="1"/>
    <col min="12052" max="12052" width="21" style="1" customWidth="1"/>
    <col min="12053" max="12055" width="0" style="1" hidden="1" customWidth="1"/>
    <col min="12056" max="12056" width="25.85546875" style="1" customWidth="1"/>
    <col min="12057" max="12059" width="0" style="1" hidden="1" customWidth="1"/>
    <col min="12060" max="12060" width="23" style="1" customWidth="1"/>
    <col min="12061" max="12289" width="9.140625" style="1"/>
    <col min="12290" max="12290" width="6.85546875" style="1" customWidth="1"/>
    <col min="12291" max="12291" width="13.140625" style="1" bestFit="1" customWidth="1"/>
    <col min="12292" max="12294" width="0" style="1" hidden="1" customWidth="1"/>
    <col min="12295" max="12295" width="26.85546875" style="1" customWidth="1"/>
    <col min="12296" max="12298" width="0" style="1" hidden="1" customWidth="1"/>
    <col min="12299" max="12299" width="28.7109375" style="1" customWidth="1"/>
    <col min="12300" max="12303" width="0" style="1" hidden="1" customWidth="1"/>
    <col min="12304" max="12304" width="25" style="1" customWidth="1"/>
    <col min="12305" max="12307" width="0" style="1" hidden="1" customWidth="1"/>
    <col min="12308" max="12308" width="21" style="1" customWidth="1"/>
    <col min="12309" max="12311" width="0" style="1" hidden="1" customWidth="1"/>
    <col min="12312" max="12312" width="25.85546875" style="1" customWidth="1"/>
    <col min="12313" max="12315" width="0" style="1" hidden="1" customWidth="1"/>
    <col min="12316" max="12316" width="23" style="1" customWidth="1"/>
    <col min="12317" max="12545" width="9.140625" style="1"/>
    <col min="12546" max="12546" width="6.85546875" style="1" customWidth="1"/>
    <col min="12547" max="12547" width="13.140625" style="1" bestFit="1" customWidth="1"/>
    <col min="12548" max="12550" width="0" style="1" hidden="1" customWidth="1"/>
    <col min="12551" max="12551" width="26.85546875" style="1" customWidth="1"/>
    <col min="12552" max="12554" width="0" style="1" hidden="1" customWidth="1"/>
    <col min="12555" max="12555" width="28.7109375" style="1" customWidth="1"/>
    <col min="12556" max="12559" width="0" style="1" hidden="1" customWidth="1"/>
    <col min="12560" max="12560" width="25" style="1" customWidth="1"/>
    <col min="12561" max="12563" width="0" style="1" hidden="1" customWidth="1"/>
    <col min="12564" max="12564" width="21" style="1" customWidth="1"/>
    <col min="12565" max="12567" width="0" style="1" hidden="1" customWidth="1"/>
    <col min="12568" max="12568" width="25.85546875" style="1" customWidth="1"/>
    <col min="12569" max="12571" width="0" style="1" hidden="1" customWidth="1"/>
    <col min="12572" max="12572" width="23" style="1" customWidth="1"/>
    <col min="12573" max="12801" width="9.140625" style="1"/>
    <col min="12802" max="12802" width="6.85546875" style="1" customWidth="1"/>
    <col min="12803" max="12803" width="13.140625" style="1" bestFit="1" customWidth="1"/>
    <col min="12804" max="12806" width="0" style="1" hidden="1" customWidth="1"/>
    <col min="12807" max="12807" width="26.85546875" style="1" customWidth="1"/>
    <col min="12808" max="12810" width="0" style="1" hidden="1" customWidth="1"/>
    <col min="12811" max="12811" width="28.7109375" style="1" customWidth="1"/>
    <col min="12812" max="12815" width="0" style="1" hidden="1" customWidth="1"/>
    <col min="12816" max="12816" width="25" style="1" customWidth="1"/>
    <col min="12817" max="12819" width="0" style="1" hidden="1" customWidth="1"/>
    <col min="12820" max="12820" width="21" style="1" customWidth="1"/>
    <col min="12821" max="12823" width="0" style="1" hidden="1" customWidth="1"/>
    <col min="12824" max="12824" width="25.85546875" style="1" customWidth="1"/>
    <col min="12825" max="12827" width="0" style="1" hidden="1" customWidth="1"/>
    <col min="12828" max="12828" width="23" style="1" customWidth="1"/>
    <col min="12829" max="13057" width="9.140625" style="1"/>
    <col min="13058" max="13058" width="6.85546875" style="1" customWidth="1"/>
    <col min="13059" max="13059" width="13.140625" style="1" bestFit="1" customWidth="1"/>
    <col min="13060" max="13062" width="0" style="1" hidden="1" customWidth="1"/>
    <col min="13063" max="13063" width="26.85546875" style="1" customWidth="1"/>
    <col min="13064" max="13066" width="0" style="1" hidden="1" customWidth="1"/>
    <col min="13067" max="13067" width="28.7109375" style="1" customWidth="1"/>
    <col min="13068" max="13071" width="0" style="1" hidden="1" customWidth="1"/>
    <col min="13072" max="13072" width="25" style="1" customWidth="1"/>
    <col min="13073" max="13075" width="0" style="1" hidden="1" customWidth="1"/>
    <col min="13076" max="13076" width="21" style="1" customWidth="1"/>
    <col min="13077" max="13079" width="0" style="1" hidden="1" customWidth="1"/>
    <col min="13080" max="13080" width="25.85546875" style="1" customWidth="1"/>
    <col min="13081" max="13083" width="0" style="1" hidden="1" customWidth="1"/>
    <col min="13084" max="13084" width="23" style="1" customWidth="1"/>
    <col min="13085" max="13313" width="9.140625" style="1"/>
    <col min="13314" max="13314" width="6.85546875" style="1" customWidth="1"/>
    <col min="13315" max="13315" width="13.140625" style="1" bestFit="1" customWidth="1"/>
    <col min="13316" max="13318" width="0" style="1" hidden="1" customWidth="1"/>
    <col min="13319" max="13319" width="26.85546875" style="1" customWidth="1"/>
    <col min="13320" max="13322" width="0" style="1" hidden="1" customWidth="1"/>
    <col min="13323" max="13323" width="28.7109375" style="1" customWidth="1"/>
    <col min="13324" max="13327" width="0" style="1" hidden="1" customWidth="1"/>
    <col min="13328" max="13328" width="25" style="1" customWidth="1"/>
    <col min="13329" max="13331" width="0" style="1" hidden="1" customWidth="1"/>
    <col min="13332" max="13332" width="21" style="1" customWidth="1"/>
    <col min="13333" max="13335" width="0" style="1" hidden="1" customWidth="1"/>
    <col min="13336" max="13336" width="25.85546875" style="1" customWidth="1"/>
    <col min="13337" max="13339" width="0" style="1" hidden="1" customWidth="1"/>
    <col min="13340" max="13340" width="23" style="1" customWidth="1"/>
    <col min="13341" max="13569" width="9.140625" style="1"/>
    <col min="13570" max="13570" width="6.85546875" style="1" customWidth="1"/>
    <col min="13571" max="13571" width="13.140625" style="1" bestFit="1" customWidth="1"/>
    <col min="13572" max="13574" width="0" style="1" hidden="1" customWidth="1"/>
    <col min="13575" max="13575" width="26.85546875" style="1" customWidth="1"/>
    <col min="13576" max="13578" width="0" style="1" hidden="1" customWidth="1"/>
    <col min="13579" max="13579" width="28.7109375" style="1" customWidth="1"/>
    <col min="13580" max="13583" width="0" style="1" hidden="1" customWidth="1"/>
    <col min="13584" max="13584" width="25" style="1" customWidth="1"/>
    <col min="13585" max="13587" width="0" style="1" hidden="1" customWidth="1"/>
    <col min="13588" max="13588" width="21" style="1" customWidth="1"/>
    <col min="13589" max="13591" width="0" style="1" hidden="1" customWidth="1"/>
    <col min="13592" max="13592" width="25.85546875" style="1" customWidth="1"/>
    <col min="13593" max="13595" width="0" style="1" hidden="1" customWidth="1"/>
    <col min="13596" max="13596" width="23" style="1" customWidth="1"/>
    <col min="13597" max="13825" width="9.140625" style="1"/>
    <col min="13826" max="13826" width="6.85546875" style="1" customWidth="1"/>
    <col min="13827" max="13827" width="13.140625" style="1" bestFit="1" customWidth="1"/>
    <col min="13828" max="13830" width="0" style="1" hidden="1" customWidth="1"/>
    <col min="13831" max="13831" width="26.85546875" style="1" customWidth="1"/>
    <col min="13832" max="13834" width="0" style="1" hidden="1" customWidth="1"/>
    <col min="13835" max="13835" width="28.7109375" style="1" customWidth="1"/>
    <col min="13836" max="13839" width="0" style="1" hidden="1" customWidth="1"/>
    <col min="13840" max="13840" width="25" style="1" customWidth="1"/>
    <col min="13841" max="13843" width="0" style="1" hidden="1" customWidth="1"/>
    <col min="13844" max="13844" width="21" style="1" customWidth="1"/>
    <col min="13845" max="13847" width="0" style="1" hidden="1" customWidth="1"/>
    <col min="13848" max="13848" width="25.85546875" style="1" customWidth="1"/>
    <col min="13849" max="13851" width="0" style="1" hidden="1" customWidth="1"/>
    <col min="13852" max="13852" width="23" style="1" customWidth="1"/>
    <col min="13853" max="14081" width="9.140625" style="1"/>
    <col min="14082" max="14082" width="6.85546875" style="1" customWidth="1"/>
    <col min="14083" max="14083" width="13.140625" style="1" bestFit="1" customWidth="1"/>
    <col min="14084" max="14086" width="0" style="1" hidden="1" customWidth="1"/>
    <col min="14087" max="14087" width="26.85546875" style="1" customWidth="1"/>
    <col min="14088" max="14090" width="0" style="1" hidden="1" customWidth="1"/>
    <col min="14091" max="14091" width="28.7109375" style="1" customWidth="1"/>
    <col min="14092" max="14095" width="0" style="1" hidden="1" customWidth="1"/>
    <col min="14096" max="14096" width="25" style="1" customWidth="1"/>
    <col min="14097" max="14099" width="0" style="1" hidden="1" customWidth="1"/>
    <col min="14100" max="14100" width="21" style="1" customWidth="1"/>
    <col min="14101" max="14103" width="0" style="1" hidden="1" customWidth="1"/>
    <col min="14104" max="14104" width="25.85546875" style="1" customWidth="1"/>
    <col min="14105" max="14107" width="0" style="1" hidden="1" customWidth="1"/>
    <col min="14108" max="14108" width="23" style="1" customWidth="1"/>
    <col min="14109" max="14337" width="9.140625" style="1"/>
    <col min="14338" max="14338" width="6.85546875" style="1" customWidth="1"/>
    <col min="14339" max="14339" width="13.140625" style="1" bestFit="1" customWidth="1"/>
    <col min="14340" max="14342" width="0" style="1" hidden="1" customWidth="1"/>
    <col min="14343" max="14343" width="26.85546875" style="1" customWidth="1"/>
    <col min="14344" max="14346" width="0" style="1" hidden="1" customWidth="1"/>
    <col min="14347" max="14347" width="28.7109375" style="1" customWidth="1"/>
    <col min="14348" max="14351" width="0" style="1" hidden="1" customWidth="1"/>
    <col min="14352" max="14352" width="25" style="1" customWidth="1"/>
    <col min="14353" max="14355" width="0" style="1" hidden="1" customWidth="1"/>
    <col min="14356" max="14356" width="21" style="1" customWidth="1"/>
    <col min="14357" max="14359" width="0" style="1" hidden="1" customWidth="1"/>
    <col min="14360" max="14360" width="25.85546875" style="1" customWidth="1"/>
    <col min="14361" max="14363" width="0" style="1" hidden="1" customWidth="1"/>
    <col min="14364" max="14364" width="23" style="1" customWidth="1"/>
    <col min="14365" max="14593" width="9.140625" style="1"/>
    <col min="14594" max="14594" width="6.85546875" style="1" customWidth="1"/>
    <col min="14595" max="14595" width="13.140625" style="1" bestFit="1" customWidth="1"/>
    <col min="14596" max="14598" width="0" style="1" hidden="1" customWidth="1"/>
    <col min="14599" max="14599" width="26.85546875" style="1" customWidth="1"/>
    <col min="14600" max="14602" width="0" style="1" hidden="1" customWidth="1"/>
    <col min="14603" max="14603" width="28.7109375" style="1" customWidth="1"/>
    <col min="14604" max="14607" width="0" style="1" hidden="1" customWidth="1"/>
    <col min="14608" max="14608" width="25" style="1" customWidth="1"/>
    <col min="14609" max="14611" width="0" style="1" hidden="1" customWidth="1"/>
    <col min="14612" max="14612" width="21" style="1" customWidth="1"/>
    <col min="14613" max="14615" width="0" style="1" hidden="1" customWidth="1"/>
    <col min="14616" max="14616" width="25.85546875" style="1" customWidth="1"/>
    <col min="14617" max="14619" width="0" style="1" hidden="1" customWidth="1"/>
    <col min="14620" max="14620" width="23" style="1" customWidth="1"/>
    <col min="14621" max="14849" width="9.140625" style="1"/>
    <col min="14850" max="14850" width="6.85546875" style="1" customWidth="1"/>
    <col min="14851" max="14851" width="13.140625" style="1" bestFit="1" customWidth="1"/>
    <col min="14852" max="14854" width="0" style="1" hidden="1" customWidth="1"/>
    <col min="14855" max="14855" width="26.85546875" style="1" customWidth="1"/>
    <col min="14856" max="14858" width="0" style="1" hidden="1" customWidth="1"/>
    <col min="14859" max="14859" width="28.7109375" style="1" customWidth="1"/>
    <col min="14860" max="14863" width="0" style="1" hidden="1" customWidth="1"/>
    <col min="14864" max="14864" width="25" style="1" customWidth="1"/>
    <col min="14865" max="14867" width="0" style="1" hidden="1" customWidth="1"/>
    <col min="14868" max="14868" width="21" style="1" customWidth="1"/>
    <col min="14869" max="14871" width="0" style="1" hidden="1" customWidth="1"/>
    <col min="14872" max="14872" width="25.85546875" style="1" customWidth="1"/>
    <col min="14873" max="14875" width="0" style="1" hidden="1" customWidth="1"/>
    <col min="14876" max="14876" width="23" style="1" customWidth="1"/>
    <col min="14877" max="15105" width="9.140625" style="1"/>
    <col min="15106" max="15106" width="6.85546875" style="1" customWidth="1"/>
    <col min="15107" max="15107" width="13.140625" style="1" bestFit="1" customWidth="1"/>
    <col min="15108" max="15110" width="0" style="1" hidden="1" customWidth="1"/>
    <col min="15111" max="15111" width="26.85546875" style="1" customWidth="1"/>
    <col min="15112" max="15114" width="0" style="1" hidden="1" customWidth="1"/>
    <col min="15115" max="15115" width="28.7109375" style="1" customWidth="1"/>
    <col min="15116" max="15119" width="0" style="1" hidden="1" customWidth="1"/>
    <col min="15120" max="15120" width="25" style="1" customWidth="1"/>
    <col min="15121" max="15123" width="0" style="1" hidden="1" customWidth="1"/>
    <col min="15124" max="15124" width="21" style="1" customWidth="1"/>
    <col min="15125" max="15127" width="0" style="1" hidden="1" customWidth="1"/>
    <col min="15128" max="15128" width="25.85546875" style="1" customWidth="1"/>
    <col min="15129" max="15131" width="0" style="1" hidden="1" customWidth="1"/>
    <col min="15132" max="15132" width="23" style="1" customWidth="1"/>
    <col min="15133" max="15361" width="9.140625" style="1"/>
    <col min="15362" max="15362" width="6.85546875" style="1" customWidth="1"/>
    <col min="15363" max="15363" width="13.140625" style="1" bestFit="1" customWidth="1"/>
    <col min="15364" max="15366" width="0" style="1" hidden="1" customWidth="1"/>
    <col min="15367" max="15367" width="26.85546875" style="1" customWidth="1"/>
    <col min="15368" max="15370" width="0" style="1" hidden="1" customWidth="1"/>
    <col min="15371" max="15371" width="28.7109375" style="1" customWidth="1"/>
    <col min="15372" max="15375" width="0" style="1" hidden="1" customWidth="1"/>
    <col min="15376" max="15376" width="25" style="1" customWidth="1"/>
    <col min="15377" max="15379" width="0" style="1" hidden="1" customWidth="1"/>
    <col min="15380" max="15380" width="21" style="1" customWidth="1"/>
    <col min="15381" max="15383" width="0" style="1" hidden="1" customWidth="1"/>
    <col min="15384" max="15384" width="25.85546875" style="1" customWidth="1"/>
    <col min="15385" max="15387" width="0" style="1" hidden="1" customWidth="1"/>
    <col min="15388" max="15388" width="23" style="1" customWidth="1"/>
    <col min="15389" max="15617" width="9.140625" style="1"/>
    <col min="15618" max="15618" width="6.85546875" style="1" customWidth="1"/>
    <col min="15619" max="15619" width="13.140625" style="1" bestFit="1" customWidth="1"/>
    <col min="15620" max="15622" width="0" style="1" hidden="1" customWidth="1"/>
    <col min="15623" max="15623" width="26.85546875" style="1" customWidth="1"/>
    <col min="15624" max="15626" width="0" style="1" hidden="1" customWidth="1"/>
    <col min="15627" max="15627" width="28.7109375" style="1" customWidth="1"/>
    <col min="15628" max="15631" width="0" style="1" hidden="1" customWidth="1"/>
    <col min="15632" max="15632" width="25" style="1" customWidth="1"/>
    <col min="15633" max="15635" width="0" style="1" hidden="1" customWidth="1"/>
    <col min="15636" max="15636" width="21" style="1" customWidth="1"/>
    <col min="15637" max="15639" width="0" style="1" hidden="1" customWidth="1"/>
    <col min="15640" max="15640" width="25.85546875" style="1" customWidth="1"/>
    <col min="15641" max="15643" width="0" style="1" hidden="1" customWidth="1"/>
    <col min="15644" max="15644" width="23" style="1" customWidth="1"/>
    <col min="15645" max="15873" width="9.140625" style="1"/>
    <col min="15874" max="15874" width="6.85546875" style="1" customWidth="1"/>
    <col min="15875" max="15875" width="13.140625" style="1" bestFit="1" customWidth="1"/>
    <col min="15876" max="15878" width="0" style="1" hidden="1" customWidth="1"/>
    <col min="15879" max="15879" width="26.85546875" style="1" customWidth="1"/>
    <col min="15880" max="15882" width="0" style="1" hidden="1" customWidth="1"/>
    <col min="15883" max="15883" width="28.7109375" style="1" customWidth="1"/>
    <col min="15884" max="15887" width="0" style="1" hidden="1" customWidth="1"/>
    <col min="15888" max="15888" width="25" style="1" customWidth="1"/>
    <col min="15889" max="15891" width="0" style="1" hidden="1" customWidth="1"/>
    <col min="15892" max="15892" width="21" style="1" customWidth="1"/>
    <col min="15893" max="15895" width="0" style="1" hidden="1" customWidth="1"/>
    <col min="15896" max="15896" width="25.85546875" style="1" customWidth="1"/>
    <col min="15897" max="15899" width="0" style="1" hidden="1" customWidth="1"/>
    <col min="15900" max="15900" width="23" style="1" customWidth="1"/>
    <col min="15901" max="16129" width="9.140625" style="1"/>
    <col min="16130" max="16130" width="6.85546875" style="1" customWidth="1"/>
    <col min="16131" max="16131" width="13.140625" style="1" bestFit="1" customWidth="1"/>
    <col min="16132" max="16134" width="0" style="1" hidden="1" customWidth="1"/>
    <col min="16135" max="16135" width="26.85546875" style="1" customWidth="1"/>
    <col min="16136" max="16138" width="0" style="1" hidden="1" customWidth="1"/>
    <col min="16139" max="16139" width="28.7109375" style="1" customWidth="1"/>
    <col min="16140" max="16143" width="0" style="1" hidden="1" customWidth="1"/>
    <col min="16144" max="16144" width="25" style="1" customWidth="1"/>
    <col min="16145" max="16147" width="0" style="1" hidden="1" customWidth="1"/>
    <col min="16148" max="16148" width="21" style="1" customWidth="1"/>
    <col min="16149" max="16151" width="0" style="1" hidden="1" customWidth="1"/>
    <col min="16152" max="16152" width="25.85546875" style="1" customWidth="1"/>
    <col min="16153" max="16155" width="0" style="1" hidden="1" customWidth="1"/>
    <col min="16156" max="16156" width="23" style="1" customWidth="1"/>
    <col min="16157" max="16384" width="9.140625" style="1"/>
  </cols>
  <sheetData>
    <row r="1" spans="2:28">
      <c r="J1" s="2487" t="s">
        <v>144</v>
      </c>
      <c r="K1" s="2487"/>
    </row>
    <row r="2" spans="2:28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  <c r="N2" s="2418"/>
      <c r="O2" s="2418"/>
      <c r="P2" s="2418"/>
      <c r="Q2" s="2418"/>
      <c r="R2" s="2418"/>
      <c r="S2" s="2418"/>
      <c r="T2" s="2418"/>
      <c r="U2" s="2418"/>
      <c r="V2" s="2418"/>
      <c r="W2" s="2418"/>
      <c r="X2" s="2418"/>
      <c r="Y2" s="2418"/>
      <c r="Z2" s="2418"/>
      <c r="AA2" s="2418"/>
      <c r="AB2" s="2418"/>
    </row>
    <row r="3" spans="2:28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  <c r="N3" s="2419"/>
      <c r="O3" s="2419"/>
      <c r="P3" s="2419"/>
      <c r="Q3" s="2419"/>
      <c r="R3" s="2419"/>
      <c r="S3" s="2419"/>
      <c r="T3" s="2419"/>
      <c r="U3" s="2419"/>
      <c r="V3" s="2419"/>
      <c r="W3" s="2419"/>
      <c r="X3" s="2419"/>
      <c r="Y3" s="2419"/>
      <c r="Z3" s="2419"/>
      <c r="AA3" s="2419"/>
      <c r="AB3" s="2419"/>
    </row>
    <row r="5" spans="2:28">
      <c r="B5" s="2541" t="s">
        <v>2738</v>
      </c>
      <c r="C5" s="2541"/>
      <c r="D5" s="2541"/>
      <c r="E5" s="2541"/>
      <c r="F5" s="2541"/>
      <c r="G5" s="2541"/>
      <c r="H5" s="2541"/>
      <c r="I5" s="2541"/>
      <c r="J5" s="2541"/>
      <c r="K5" s="2541"/>
      <c r="L5" s="2541"/>
      <c r="M5" s="2541"/>
      <c r="N5" s="2541"/>
      <c r="O5" s="2541"/>
      <c r="P5" s="2541"/>
      <c r="Q5" s="2541"/>
      <c r="R5" s="2541"/>
      <c r="S5" s="2541"/>
      <c r="T5" s="2541"/>
      <c r="U5" s="2541"/>
      <c r="V5" s="2541"/>
      <c r="W5" s="2541"/>
      <c r="X5" s="2541"/>
      <c r="Y5" s="2541"/>
      <c r="Z5" s="2541"/>
      <c r="AA5" s="2541"/>
      <c r="AB5" s="2541"/>
    </row>
    <row r="6" spans="2:28">
      <c r="B6" s="2541" t="s">
        <v>2735</v>
      </c>
      <c r="C6" s="2541"/>
      <c r="D6" s="2541"/>
      <c r="E6" s="2541"/>
      <c r="F6" s="2541"/>
      <c r="G6" s="2541"/>
      <c r="H6" s="2541"/>
      <c r="I6" s="2541"/>
      <c r="J6" s="2541"/>
      <c r="K6" s="2541"/>
      <c r="L6" s="2541"/>
      <c r="M6" s="2541"/>
      <c r="N6" s="2541"/>
      <c r="O6" s="2541"/>
      <c r="P6" s="2541"/>
      <c r="Q6" s="2541"/>
      <c r="R6" s="2541"/>
      <c r="S6" s="2541"/>
      <c r="T6" s="2541"/>
      <c r="U6" s="2541"/>
      <c r="V6" s="2541"/>
      <c r="W6" s="2541"/>
      <c r="X6" s="2541"/>
      <c r="Y6" s="2541"/>
      <c r="Z6" s="2541"/>
      <c r="AA6" s="2541"/>
      <c r="AB6" s="2541"/>
    </row>
    <row r="7" spans="2:28" ht="16.5" thickBot="1"/>
    <row r="8" spans="2:28" ht="39.75" customHeight="1">
      <c r="B8" s="2448" t="s">
        <v>349</v>
      </c>
      <c r="C8" s="2450" t="s">
        <v>331</v>
      </c>
      <c r="D8" s="2450" t="s">
        <v>2639</v>
      </c>
      <c r="E8" s="2450"/>
      <c r="F8" s="2450"/>
      <c r="G8" s="2450"/>
      <c r="H8" s="2450" t="s">
        <v>2640</v>
      </c>
      <c r="I8" s="2450"/>
      <c r="J8" s="2450"/>
      <c r="K8" s="2450"/>
      <c r="L8" s="2450" t="s">
        <v>2753</v>
      </c>
      <c r="M8" s="2450"/>
      <c r="N8" s="2450"/>
      <c r="O8" s="2450"/>
      <c r="P8" s="2450"/>
      <c r="Q8" s="2450" t="s">
        <v>2752</v>
      </c>
      <c r="R8" s="2450"/>
      <c r="S8" s="2450"/>
      <c r="T8" s="2450"/>
      <c r="U8" s="2450" t="s">
        <v>2751</v>
      </c>
      <c r="V8" s="2450"/>
      <c r="W8" s="2450"/>
      <c r="X8" s="2450"/>
      <c r="Y8" s="2450" t="s">
        <v>2750</v>
      </c>
      <c r="Z8" s="2450"/>
      <c r="AA8" s="2450"/>
      <c r="AB8" s="2542"/>
    </row>
    <row r="9" spans="2:28">
      <c r="B9" s="2449"/>
      <c r="C9" s="2451"/>
      <c r="D9" s="2140"/>
      <c r="E9" s="2144"/>
      <c r="F9" s="2140"/>
      <c r="G9" s="2144" t="s">
        <v>1037</v>
      </c>
      <c r="H9" s="2140"/>
      <c r="I9" s="2144"/>
      <c r="J9" s="2140"/>
      <c r="K9" s="2144" t="s">
        <v>1037</v>
      </c>
      <c r="L9" s="2140"/>
      <c r="M9" s="2144"/>
      <c r="N9" s="2140"/>
      <c r="O9" s="2144"/>
      <c r="P9" s="2144" t="s">
        <v>1037</v>
      </c>
      <c r="Q9" s="2140"/>
      <c r="R9" s="2144"/>
      <c r="S9" s="2140"/>
      <c r="T9" s="2144" t="s">
        <v>1037</v>
      </c>
      <c r="U9" s="2140"/>
      <c r="V9" s="2144"/>
      <c r="W9" s="2140"/>
      <c r="X9" s="2144" t="s">
        <v>2508</v>
      </c>
      <c r="Y9" s="2140"/>
      <c r="Z9" s="2144"/>
      <c r="AA9" s="2140"/>
      <c r="AB9" s="2146" t="s">
        <v>2508</v>
      </c>
    </row>
    <row r="10" spans="2:28">
      <c r="B10" s="587">
        <v>1</v>
      </c>
      <c r="C10" s="347" t="s">
        <v>2641</v>
      </c>
      <c r="D10" s="347"/>
      <c r="E10" s="347"/>
      <c r="F10" s="347"/>
      <c r="G10" s="1561">
        <v>0</v>
      </c>
      <c r="H10" s="1561">
        <v>0</v>
      </c>
      <c r="I10" s="1561">
        <v>0</v>
      </c>
      <c r="J10" s="1561">
        <v>0</v>
      </c>
      <c r="K10" s="1561">
        <v>0</v>
      </c>
      <c r="L10" s="1561">
        <v>0</v>
      </c>
      <c r="M10" s="1561">
        <v>0</v>
      </c>
      <c r="N10" s="1561">
        <v>0</v>
      </c>
      <c r="O10" s="1561">
        <v>0</v>
      </c>
      <c r="P10" s="1789">
        <v>0</v>
      </c>
      <c r="Q10" s="1810">
        <v>0</v>
      </c>
      <c r="R10" s="1810">
        <v>0</v>
      </c>
      <c r="S10" s="1810">
        <v>0</v>
      </c>
      <c r="T10" s="1789">
        <v>0</v>
      </c>
      <c r="U10" s="1810"/>
      <c r="V10" s="1810"/>
      <c r="W10" s="1810"/>
      <c r="X10" s="1789">
        <v>3</v>
      </c>
      <c r="Y10" s="1789"/>
      <c r="Z10" s="1810"/>
      <c r="AA10" s="1810"/>
      <c r="AB10" s="1812">
        <v>5</v>
      </c>
    </row>
    <row r="11" spans="2:28">
      <c r="B11" s="587">
        <v>2</v>
      </c>
      <c r="C11" s="347" t="s">
        <v>103</v>
      </c>
      <c r="D11" s="347"/>
      <c r="E11" s="347"/>
      <c r="F11" s="347"/>
      <c r="G11" s="590">
        <v>52</v>
      </c>
      <c r="H11" s="1562"/>
      <c r="I11" s="1562"/>
      <c r="J11" s="1562"/>
      <c r="K11" s="578">
        <v>62</v>
      </c>
      <c r="L11" s="1532"/>
      <c r="M11" s="1532"/>
      <c r="N11" s="1562"/>
      <c r="O11" s="1532"/>
      <c r="P11" s="1789">
        <v>68</v>
      </c>
      <c r="Q11" s="1810"/>
      <c r="R11" s="1810"/>
      <c r="S11" s="1810"/>
      <c r="T11" s="1789">
        <v>68</v>
      </c>
      <c r="U11" s="1810"/>
      <c r="V11" s="1810"/>
      <c r="W11" s="1810"/>
      <c r="X11" s="1789">
        <v>78</v>
      </c>
      <c r="Y11" s="1789"/>
      <c r="Z11" s="1810"/>
      <c r="AA11" s="1810"/>
      <c r="AB11" s="1812">
        <v>93</v>
      </c>
    </row>
    <row r="12" spans="2:28">
      <c r="B12" s="587">
        <v>3</v>
      </c>
      <c r="C12" s="347" t="s">
        <v>431</v>
      </c>
      <c r="D12" s="347"/>
      <c r="E12" s="347"/>
      <c r="F12" s="347"/>
      <c r="G12" s="590">
        <v>76</v>
      </c>
      <c r="H12" s="1562"/>
      <c r="I12" s="1562"/>
      <c r="J12" s="1562"/>
      <c r="K12" s="578">
        <v>76</v>
      </c>
      <c r="L12" s="1532"/>
      <c r="M12" s="1532"/>
      <c r="N12" s="1562"/>
      <c r="O12" s="1532"/>
      <c r="P12" s="1789">
        <v>78</v>
      </c>
      <c r="Q12" s="1810"/>
      <c r="R12" s="1810"/>
      <c r="S12" s="1810"/>
      <c r="T12" s="1789">
        <v>78</v>
      </c>
      <c r="U12" s="1810"/>
      <c r="V12" s="1810"/>
      <c r="W12" s="1810"/>
      <c r="X12" s="1789">
        <v>78</v>
      </c>
      <c r="Y12" s="1789"/>
      <c r="Z12" s="1810"/>
      <c r="AA12" s="1810"/>
      <c r="AB12" s="1812">
        <v>78</v>
      </c>
    </row>
    <row r="13" spans="2:28" ht="16.5" thickBot="1">
      <c r="B13" s="604">
        <v>4</v>
      </c>
      <c r="C13" s="1637" t="s">
        <v>287</v>
      </c>
      <c r="D13" s="1637"/>
      <c r="E13" s="1637"/>
      <c r="F13" s="1637"/>
      <c r="G13" s="1645">
        <f>SUM(G10:G12)</f>
        <v>128</v>
      </c>
      <c r="H13" s="1645">
        <f t="shared" ref="H13:AB13" si="0">SUM(H10:H12)</f>
        <v>0</v>
      </c>
      <c r="I13" s="1645">
        <f t="shared" si="0"/>
        <v>0</v>
      </c>
      <c r="J13" s="1645">
        <f t="shared" si="0"/>
        <v>0</v>
      </c>
      <c r="K13" s="1645">
        <f t="shared" si="0"/>
        <v>138</v>
      </c>
      <c r="L13" s="1645">
        <f t="shared" si="0"/>
        <v>0</v>
      </c>
      <c r="M13" s="1645">
        <f t="shared" si="0"/>
        <v>0</v>
      </c>
      <c r="N13" s="1645">
        <f t="shared" si="0"/>
        <v>0</v>
      </c>
      <c r="O13" s="1645">
        <f t="shared" si="0"/>
        <v>0</v>
      </c>
      <c r="P13" s="1813">
        <f t="shared" si="0"/>
        <v>146</v>
      </c>
      <c r="Q13" s="1813">
        <f t="shared" si="0"/>
        <v>0</v>
      </c>
      <c r="R13" s="1813">
        <f t="shared" si="0"/>
        <v>0</v>
      </c>
      <c r="S13" s="1813">
        <f t="shared" si="0"/>
        <v>0</v>
      </c>
      <c r="T13" s="1813">
        <f t="shared" si="0"/>
        <v>146</v>
      </c>
      <c r="U13" s="1813">
        <f t="shared" si="0"/>
        <v>0</v>
      </c>
      <c r="V13" s="1813">
        <f t="shared" si="0"/>
        <v>0</v>
      </c>
      <c r="W13" s="1813">
        <f t="shared" si="0"/>
        <v>0</v>
      </c>
      <c r="X13" s="1813">
        <f t="shared" si="0"/>
        <v>159</v>
      </c>
      <c r="Y13" s="1813">
        <f t="shared" si="0"/>
        <v>0</v>
      </c>
      <c r="Z13" s="1813">
        <f t="shared" si="0"/>
        <v>0</v>
      </c>
      <c r="AA13" s="1813">
        <f t="shared" si="0"/>
        <v>0</v>
      </c>
      <c r="AB13" s="1814">
        <f t="shared" si="0"/>
        <v>176</v>
      </c>
    </row>
  </sheetData>
  <mergeCells count="13">
    <mergeCell ref="Q8:T8"/>
    <mergeCell ref="U8:X8"/>
    <mergeCell ref="Y8:AB8"/>
    <mergeCell ref="J1:K1"/>
    <mergeCell ref="B6:AB6"/>
    <mergeCell ref="B5:AB5"/>
    <mergeCell ref="B3:AB3"/>
    <mergeCell ref="B2:AB2"/>
    <mergeCell ref="B8:B9"/>
    <mergeCell ref="C8:C9"/>
    <mergeCell ref="D8:G8"/>
    <mergeCell ref="H8:K8"/>
    <mergeCell ref="L8:P8"/>
  </mergeCells>
  <printOptions horizontalCentered="1"/>
  <pageMargins left="0.7" right="0.7" top="0.75" bottom="0.75" header="0.3" footer="0.3"/>
  <pageSetup paperSize="9" scale="91" firstPageNumber="13" orientation="landscape" useFirstPageNumber="1" r:id="rId1"/>
  <headerFoot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B1:N22"/>
  <sheetViews>
    <sheetView view="pageBreakPreview" zoomScale="69" zoomScaleSheetLayoutView="69" workbookViewId="0">
      <selection activeCell="I10" sqref="I10"/>
    </sheetView>
  </sheetViews>
  <sheetFormatPr defaultRowHeight="15.75"/>
  <cols>
    <col min="1" max="1" width="5.140625" style="1" customWidth="1"/>
    <col min="2" max="2" width="7.5703125" style="1" customWidth="1"/>
    <col min="3" max="3" width="75" style="1" customWidth="1"/>
    <col min="4" max="4" width="13.28515625" style="1" hidden="1" customWidth="1"/>
    <col min="5" max="5" width="9.42578125" style="1" hidden="1" customWidth="1"/>
    <col min="6" max="6" width="12.85546875" style="1" hidden="1" customWidth="1"/>
    <col min="7" max="7" width="25.140625" style="1" hidden="1" customWidth="1"/>
    <col min="8" max="8" width="12.85546875" style="1" hidden="1" customWidth="1"/>
    <col min="9" max="9" width="15.5703125" style="1" customWidth="1"/>
    <col min="10" max="10" width="13.28515625" style="1" hidden="1" customWidth="1"/>
    <col min="11" max="11" width="15.5703125" style="1" hidden="1" customWidth="1"/>
    <col min="12" max="12" width="22" style="1" customWidth="1"/>
    <col min="13" max="13" width="33.7109375" style="1" customWidth="1"/>
    <col min="14" max="14" width="15.85546875" style="1" hidden="1" customWidth="1"/>
    <col min="15" max="15" width="15.28515625" style="1" customWidth="1"/>
    <col min="16" max="16" width="17" style="1" customWidth="1"/>
    <col min="17" max="17" width="15.42578125" style="1" customWidth="1"/>
    <col min="18" max="18" width="15.85546875" style="1" customWidth="1"/>
    <col min="19" max="19" width="16.5703125" style="1" customWidth="1"/>
    <col min="20" max="20" width="13.5703125" style="1" customWidth="1"/>
    <col min="21" max="16384" width="9.140625" style="1"/>
  </cols>
  <sheetData>
    <row r="1" spans="2:14">
      <c r="F1" s="2215"/>
      <c r="G1" s="2215" t="s">
        <v>149</v>
      </c>
    </row>
    <row r="2" spans="2:14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</row>
    <row r="3" spans="2:14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</row>
    <row r="4" spans="2:14">
      <c r="B4" s="2209"/>
      <c r="C4" s="2209"/>
      <c r="D4" s="2209"/>
      <c r="E4" s="2209"/>
      <c r="F4" s="2209"/>
      <c r="G4" s="2209"/>
      <c r="H4" s="2209"/>
    </row>
    <row r="5" spans="2:14">
      <c r="B5" s="2419" t="s">
        <v>2584</v>
      </c>
      <c r="C5" s="2419"/>
      <c r="D5" s="2419"/>
      <c r="E5" s="2419"/>
      <c r="F5" s="2419"/>
      <c r="G5" s="2419"/>
      <c r="H5" s="2419"/>
      <c r="I5" s="2419"/>
      <c r="J5" s="2419"/>
      <c r="K5" s="2419"/>
      <c r="L5" s="2419"/>
      <c r="M5" s="2419"/>
    </row>
    <row r="6" spans="2:14">
      <c r="B6" s="2533" t="s">
        <v>150</v>
      </c>
      <c r="C6" s="2533"/>
      <c r="D6" s="2533"/>
      <c r="E6" s="2533"/>
      <c r="F6" s="2533"/>
      <c r="G6" s="2533"/>
      <c r="H6" s="2533"/>
      <c r="I6" s="2533"/>
      <c r="J6" s="2533"/>
      <c r="K6" s="2533"/>
      <c r="L6" s="2533"/>
      <c r="M6" s="2533"/>
    </row>
    <row r="8" spans="2:14" ht="16.5" thickBot="1">
      <c r="F8" s="147" t="s">
        <v>148</v>
      </c>
      <c r="M8" s="1467" t="s">
        <v>96</v>
      </c>
    </row>
    <row r="9" spans="2:14" ht="33.75" customHeight="1">
      <c r="B9" s="2448" t="s">
        <v>349</v>
      </c>
      <c r="C9" s="2450" t="s">
        <v>331</v>
      </c>
      <c r="D9" s="2450" t="s">
        <v>1034</v>
      </c>
      <c r="E9" s="2450"/>
      <c r="F9" s="2450"/>
      <c r="G9" s="2450"/>
      <c r="H9" s="2450" t="s">
        <v>2591</v>
      </c>
      <c r="I9" s="2450"/>
      <c r="J9" s="2450"/>
      <c r="K9" s="2450"/>
      <c r="L9" s="2450"/>
      <c r="M9" s="2142" t="s">
        <v>2592</v>
      </c>
    </row>
    <row r="10" spans="2:14" ht="29.25" customHeight="1">
      <c r="B10" s="2449"/>
      <c r="C10" s="2451"/>
      <c r="D10" s="2210" t="s">
        <v>1228</v>
      </c>
      <c r="E10" s="2214" t="s">
        <v>1036</v>
      </c>
      <c r="F10" s="2210" t="s">
        <v>1038</v>
      </c>
      <c r="G10" s="2214" t="s">
        <v>1037</v>
      </c>
      <c r="H10" s="2210" t="s">
        <v>1228</v>
      </c>
      <c r="I10" s="2214" t="s">
        <v>1036</v>
      </c>
      <c r="J10" s="2214" t="s">
        <v>1229</v>
      </c>
      <c r="K10" s="2214" t="s">
        <v>1230</v>
      </c>
      <c r="L10" s="2214" t="s">
        <v>2508</v>
      </c>
      <c r="M10" s="2141" t="s">
        <v>1040</v>
      </c>
    </row>
    <row r="11" spans="2:14">
      <c r="B11" s="2213"/>
      <c r="C11" s="2214" t="s">
        <v>2553</v>
      </c>
      <c r="D11" s="2210">
        <v>1</v>
      </c>
      <c r="E11" s="2210">
        <v>2</v>
      </c>
      <c r="F11" s="2210">
        <v>3</v>
      </c>
      <c r="G11" s="2210">
        <v>4</v>
      </c>
      <c r="H11" s="2210">
        <v>5</v>
      </c>
      <c r="I11" s="2210">
        <v>1</v>
      </c>
      <c r="J11" s="2210">
        <v>7</v>
      </c>
      <c r="K11" s="2210">
        <v>8</v>
      </c>
      <c r="L11" s="2210">
        <v>2</v>
      </c>
      <c r="M11" s="2141">
        <v>3</v>
      </c>
    </row>
    <row r="12" spans="2:14" ht="30" customHeight="1">
      <c r="B12" s="2007">
        <v>1</v>
      </c>
      <c r="C12" s="1865" t="s">
        <v>145</v>
      </c>
      <c r="D12" s="2011">
        <v>107.07961375575768</v>
      </c>
      <c r="E12" s="2011">
        <v>67</v>
      </c>
      <c r="F12" s="2012"/>
      <c r="G12" s="2012">
        <f>'F24'!G11/6</f>
        <v>66.995000000000005</v>
      </c>
      <c r="H12" s="2012">
        <v>128.19899690940599</v>
      </c>
      <c r="I12" s="1471">
        <v>124.93</v>
      </c>
      <c r="J12" s="1471"/>
      <c r="K12" s="1471"/>
      <c r="L12" s="1471">
        <v>133.54499999999999</v>
      </c>
      <c r="M12" s="1640">
        <f ca="1">'F24'!M11/6</f>
        <v>201.23486366339489</v>
      </c>
      <c r="N12" s="1">
        <f ca="1">M12*6</f>
        <v>1207.4091819803693</v>
      </c>
    </row>
    <row r="13" spans="2:14" ht="26.25" customHeight="1">
      <c r="B13" s="2007">
        <v>2</v>
      </c>
      <c r="C13" s="1808" t="s">
        <v>146</v>
      </c>
      <c r="D13" s="2013">
        <v>44.357340856755719</v>
      </c>
      <c r="E13" s="2014">
        <v>26.69</v>
      </c>
      <c r="F13" s="1784"/>
      <c r="G13" s="1784" t="e">
        <f>15%*('F1'!$G$42+#REF!+#REF!)</f>
        <v>#REF!</v>
      </c>
      <c r="H13" s="1784">
        <v>54.763209458749323</v>
      </c>
      <c r="I13" s="1471">
        <v>44.07</v>
      </c>
      <c r="J13" s="1471"/>
      <c r="K13" s="1471"/>
      <c r="L13" s="1471">
        <f>15%*SUM(ARR!K11:K13)</f>
        <v>50.091254674638201</v>
      </c>
      <c r="M13" s="1640">
        <f>15%*SUM(ARR!M11:M13)</f>
        <v>57.563599089909289</v>
      </c>
    </row>
    <row r="14" spans="2:14" ht="26.25" customHeight="1">
      <c r="B14" s="2007">
        <v>3</v>
      </c>
      <c r="C14" s="1865" t="s">
        <v>147</v>
      </c>
      <c r="D14" s="2015">
        <v>24.642967142642068</v>
      </c>
      <c r="E14" s="1478">
        <v>14.83</v>
      </c>
      <c r="F14" s="1395"/>
      <c r="G14" s="1784" t="e">
        <f>1/12*('F1'!$G$42+#REF!+#REF!)</f>
        <v>#REF!</v>
      </c>
      <c r="H14" s="1784">
        <v>30.424005254860734</v>
      </c>
      <c r="I14" s="1471">
        <v>24.48</v>
      </c>
      <c r="J14" s="1471"/>
      <c r="K14" s="1471"/>
      <c r="L14" s="1471">
        <f>1/12*SUM(ARR!K11:K13)</f>
        <v>27.828474819243443</v>
      </c>
      <c r="M14" s="1640">
        <f>1/12*SUM(ARR!M11:M13)</f>
        <v>31.97977727217183</v>
      </c>
    </row>
    <row r="15" spans="2:14" ht="24" hidden="1" customHeight="1">
      <c r="B15" s="2007">
        <v>4</v>
      </c>
      <c r="C15" s="1808" t="s">
        <v>2687</v>
      </c>
      <c r="D15" s="1395">
        <v>176.07992175515548</v>
      </c>
      <c r="E15" s="1396">
        <v>108.52</v>
      </c>
      <c r="F15" s="1395">
        <f>'Schedules of Accounts'!E213/10^7</f>
        <v>756.37090000000001</v>
      </c>
      <c r="G15" s="1395" t="e">
        <f>SUM(G12:G14)</f>
        <v>#REF!</v>
      </c>
      <c r="H15" s="1784">
        <v>213.38621162301604</v>
      </c>
      <c r="I15" s="1471">
        <v>193.48</v>
      </c>
      <c r="J15" s="1471">
        <v>100</v>
      </c>
      <c r="K15" s="1471"/>
      <c r="L15" s="1471">
        <f>SUM(L12:L14)</f>
        <v>211.46472949388163</v>
      </c>
      <c r="M15" s="1640">
        <f ca="1">SUM(M12:M14)</f>
        <v>290.77824002547601</v>
      </c>
    </row>
    <row r="16" spans="2:14" ht="24" hidden="1" customHeight="1">
      <c r="B16" s="2007">
        <v>5</v>
      </c>
      <c r="C16" s="1808" t="s">
        <v>2686</v>
      </c>
      <c r="D16" s="1395"/>
      <c r="E16" s="1396"/>
      <c r="F16" s="1395"/>
      <c r="G16" s="1395"/>
      <c r="H16" s="1784"/>
      <c r="I16" s="1471"/>
      <c r="J16" s="1471"/>
      <c r="K16" s="1471"/>
      <c r="L16" s="1471"/>
      <c r="M16" s="1640"/>
    </row>
    <row r="17" spans="2:13" ht="24" customHeight="1">
      <c r="B17" s="2007">
        <v>4</v>
      </c>
      <c r="C17" s="1808" t="s">
        <v>2688</v>
      </c>
      <c r="D17" s="1395"/>
      <c r="E17" s="1396"/>
      <c r="F17" s="1395"/>
      <c r="G17" s="1395"/>
      <c r="H17" s="1784"/>
      <c r="I17" s="1471"/>
      <c r="J17" s="1471"/>
      <c r="K17" s="1471"/>
      <c r="L17" s="1471">
        <f>SUM(L15:L16)</f>
        <v>211.46472949388163</v>
      </c>
      <c r="M17" s="1640">
        <f ca="1">SUM(M15:M16)</f>
        <v>290.77824002547601</v>
      </c>
    </row>
    <row r="18" spans="2:13" ht="27" customHeight="1">
      <c r="B18" s="2007">
        <v>5</v>
      </c>
      <c r="C18" s="1808" t="s">
        <v>1326</v>
      </c>
      <c r="D18" s="1796">
        <v>0.11749999999999999</v>
      </c>
      <c r="E18" s="1797">
        <v>0.11749999999999999</v>
      </c>
      <c r="F18" s="1796">
        <f>F19/F15</f>
        <v>0.10510716369442558</v>
      </c>
      <c r="G18" s="2016">
        <v>0.1275</v>
      </c>
      <c r="H18" s="2017">
        <f>H19/H15</f>
        <v>0.11749999999999999</v>
      </c>
      <c r="I18" s="1798">
        <v>0.13</v>
      </c>
      <c r="J18" s="1471"/>
      <c r="K18" s="1471"/>
      <c r="L18" s="2018">
        <f>SBI_PLR</f>
        <v>0.14749999999999999</v>
      </c>
      <c r="M18" s="2019">
        <v>0.14749999999999999</v>
      </c>
    </row>
    <row r="19" spans="2:13" ht="27.75" customHeight="1" thickBot="1">
      <c r="B19" s="2009">
        <v>6</v>
      </c>
      <c r="C19" s="1826" t="s">
        <v>340</v>
      </c>
      <c r="D19" s="1806">
        <v>20.689390806230769</v>
      </c>
      <c r="E19" s="1806">
        <f>E15*E18</f>
        <v>12.751099999999999</v>
      </c>
      <c r="F19" s="1806">
        <f>'Schedules of Accounts'!E230/10^7</f>
        <v>79.5</v>
      </c>
      <c r="G19" s="1806" t="e">
        <f>G15*G18</f>
        <v>#REF!</v>
      </c>
      <c r="H19" s="1807">
        <v>25.072879865704383</v>
      </c>
      <c r="I19" s="1585">
        <f>I15*I18</f>
        <v>25.1524</v>
      </c>
      <c r="J19" s="1585">
        <v>4.3099999999999996</v>
      </c>
      <c r="K19" s="1585"/>
      <c r="L19" s="1585">
        <f>L17*L18</f>
        <v>31.191047600347538</v>
      </c>
      <c r="M19" s="1827">
        <f ca="1">M17*M18</f>
        <v>42.889790403757708</v>
      </c>
    </row>
    <row r="21" spans="2:13" hidden="1">
      <c r="L21" s="2020">
        <f>L15*L18</f>
        <v>31.191047600347538</v>
      </c>
      <c r="M21" s="2020">
        <f ca="1">M15*M18</f>
        <v>42.889790403757708</v>
      </c>
    </row>
    <row r="22" spans="2:13" hidden="1">
      <c r="L22" s="1530">
        <f>L19-L21</f>
        <v>0</v>
      </c>
      <c r="M22" s="1530">
        <f ca="1">M19-M21</f>
        <v>0</v>
      </c>
    </row>
  </sheetData>
  <sheetProtection selectLockedCells="1" selectUnlockedCells="1"/>
  <mergeCells count="8">
    <mergeCell ref="B2:M2"/>
    <mergeCell ref="B3:M3"/>
    <mergeCell ref="B5:M5"/>
    <mergeCell ref="B6:M6"/>
    <mergeCell ref="B9:B10"/>
    <mergeCell ref="C9:C10"/>
    <mergeCell ref="D9:G9"/>
    <mergeCell ref="H9:L9"/>
  </mergeCells>
  <printOptions horizontalCentered="1"/>
  <pageMargins left="0.7" right="0.7" top="0.75" bottom="0.75" header="0.3" footer="0.3"/>
  <pageSetup paperSize="9" scale="82" firstPageNumber="14" orientation="landscape" useFirstPageNumber="1" r:id="rId1"/>
  <headerFooter>
    <oddFooter>&amp;R&amp;P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B1:Q22"/>
  <sheetViews>
    <sheetView view="pageBreakPreview" zoomScale="69" zoomScaleSheetLayoutView="69" workbookViewId="0">
      <selection activeCell="P4" sqref="P4:Q4"/>
    </sheetView>
  </sheetViews>
  <sheetFormatPr defaultRowHeight="15.75"/>
  <cols>
    <col min="1" max="1" width="5.140625" style="1" customWidth="1"/>
    <col min="2" max="2" width="7.5703125" style="1" customWidth="1"/>
    <col min="3" max="3" width="75" style="1" customWidth="1"/>
    <col min="4" max="4" width="13.28515625" style="1" hidden="1" customWidth="1"/>
    <col min="5" max="5" width="9.42578125" style="1" hidden="1" customWidth="1"/>
    <col min="6" max="6" width="12.85546875" style="1" hidden="1" customWidth="1"/>
    <col min="7" max="7" width="25.140625" style="1" hidden="1" customWidth="1"/>
    <col min="8" max="8" width="12.85546875" style="1" hidden="1" customWidth="1"/>
    <col min="9" max="9" width="15.5703125" style="1" hidden="1" customWidth="1"/>
    <col min="10" max="10" width="13.28515625" style="1" hidden="1" customWidth="1"/>
    <col min="11" max="11" width="15.5703125" style="1" hidden="1" customWidth="1"/>
    <col min="12" max="12" width="16.5703125" style="1" customWidth="1"/>
    <col min="13" max="13" width="32.85546875" style="1" customWidth="1"/>
    <col min="14" max="14" width="33.7109375" style="1" customWidth="1"/>
    <col min="15" max="15" width="15.85546875" style="1" hidden="1" customWidth="1"/>
    <col min="16" max="16" width="33.28515625" style="1" customWidth="1"/>
    <col min="17" max="17" width="17" style="1" customWidth="1"/>
    <col min="18" max="18" width="15.42578125" style="1" customWidth="1"/>
    <col min="19" max="19" width="15.85546875" style="1" customWidth="1"/>
    <col min="20" max="20" width="16.5703125" style="1" customWidth="1"/>
    <col min="21" max="21" width="13.5703125" style="1" customWidth="1"/>
    <col min="22" max="16384" width="9.140625" style="1"/>
  </cols>
  <sheetData>
    <row r="1" spans="2:17">
      <c r="F1" s="1854"/>
      <c r="G1" s="1854" t="s">
        <v>149</v>
      </c>
    </row>
    <row r="2" spans="2:17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  <c r="N2" s="2418"/>
    </row>
    <row r="3" spans="2:17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  <c r="N3" s="2419"/>
    </row>
    <row r="4" spans="2:17">
      <c r="B4" s="1843"/>
      <c r="C4" s="1843"/>
      <c r="D4" s="1843"/>
      <c r="E4" s="1843"/>
      <c r="F4" s="1843"/>
      <c r="G4" s="1843"/>
      <c r="H4" s="1843"/>
      <c r="P4" s="2419" t="s">
        <v>2801</v>
      </c>
      <c r="Q4" s="2419"/>
    </row>
    <row r="5" spans="2:17">
      <c r="B5" s="2419" t="s">
        <v>2584</v>
      </c>
      <c r="C5" s="2419"/>
      <c r="D5" s="2419"/>
      <c r="E5" s="2419"/>
      <c r="F5" s="2419"/>
      <c r="G5" s="2419"/>
      <c r="H5" s="2419"/>
      <c r="I5" s="2419"/>
      <c r="J5" s="2419"/>
      <c r="K5" s="2419"/>
      <c r="L5" s="2419"/>
      <c r="M5" s="2419"/>
      <c r="N5" s="2419"/>
    </row>
    <row r="6" spans="2:17">
      <c r="B6" s="2533" t="s">
        <v>150</v>
      </c>
      <c r="C6" s="2533"/>
      <c r="D6" s="2533"/>
      <c r="E6" s="2533"/>
      <c r="F6" s="2533"/>
      <c r="G6" s="2533"/>
      <c r="H6" s="2533"/>
      <c r="I6" s="2533"/>
      <c r="J6" s="2533"/>
      <c r="K6" s="2533"/>
      <c r="L6" s="2533"/>
      <c r="M6" s="2533"/>
      <c r="N6" s="2533"/>
    </row>
    <row r="8" spans="2:17">
      <c r="F8" s="147" t="s">
        <v>148</v>
      </c>
      <c r="N8" s="1467" t="s">
        <v>96</v>
      </c>
    </row>
    <row r="9" spans="2:17" ht="33.75" customHeight="1">
      <c r="B9" s="2451" t="s">
        <v>349</v>
      </c>
      <c r="C9" s="2451" t="s">
        <v>331</v>
      </c>
      <c r="D9" s="2451" t="s">
        <v>1034</v>
      </c>
      <c r="E9" s="2451"/>
      <c r="F9" s="2451"/>
      <c r="G9" s="2451"/>
      <c r="H9" s="2239" t="s">
        <v>2591</v>
      </c>
      <c r="I9" s="2239"/>
      <c r="J9" s="2239"/>
      <c r="K9" s="2239"/>
      <c r="L9" s="2451" t="s">
        <v>1752</v>
      </c>
      <c r="M9" s="2451"/>
      <c r="N9" s="2443" t="s">
        <v>2590</v>
      </c>
      <c r="O9" s="2443"/>
      <c r="P9" s="2443"/>
    </row>
    <row r="10" spans="2:17" ht="29.25" customHeight="1">
      <c r="B10" s="2451"/>
      <c r="C10" s="2451"/>
      <c r="D10" s="2210" t="s">
        <v>1228</v>
      </c>
      <c r="E10" s="2214" t="s">
        <v>1036</v>
      </c>
      <c r="F10" s="2210" t="s">
        <v>1038</v>
      </c>
      <c r="G10" s="2214" t="s">
        <v>1037</v>
      </c>
      <c r="H10" s="2210" t="s">
        <v>1228</v>
      </c>
      <c r="I10" s="2214" t="s">
        <v>1036</v>
      </c>
      <c r="J10" s="2214" t="s">
        <v>1229</v>
      </c>
      <c r="K10" s="2214" t="s">
        <v>1230</v>
      </c>
      <c r="L10" s="2214" t="s">
        <v>2508</v>
      </c>
      <c r="M10" s="2214" t="s">
        <v>2769</v>
      </c>
      <c r="N10" s="2210" t="s">
        <v>1040</v>
      </c>
      <c r="O10" s="346"/>
      <c r="P10" s="2214" t="s">
        <v>2769</v>
      </c>
    </row>
    <row r="11" spans="2:17">
      <c r="B11" s="2214"/>
      <c r="C11" s="2214" t="s">
        <v>2553</v>
      </c>
      <c r="D11" s="2210">
        <v>1</v>
      </c>
      <c r="E11" s="2210">
        <v>2</v>
      </c>
      <c r="F11" s="2210">
        <v>3</v>
      </c>
      <c r="G11" s="2210">
        <v>4</v>
      </c>
      <c r="H11" s="2210">
        <v>5</v>
      </c>
      <c r="I11" s="2210">
        <v>1</v>
      </c>
      <c r="J11" s="2210">
        <v>7</v>
      </c>
      <c r="K11" s="2210">
        <v>8</v>
      </c>
      <c r="L11" s="2210">
        <v>2</v>
      </c>
      <c r="M11" s="2210"/>
      <c r="N11" s="2210">
        <v>3</v>
      </c>
      <c r="O11" s="346"/>
      <c r="P11" s="346"/>
    </row>
    <row r="12" spans="2:17" ht="30" customHeight="1">
      <c r="B12" s="2087">
        <v>1</v>
      </c>
      <c r="C12" s="1865" t="s">
        <v>145</v>
      </c>
      <c r="D12" s="2011">
        <v>107.07961375575768</v>
      </c>
      <c r="E12" s="2011">
        <v>67</v>
      </c>
      <c r="F12" s="2012"/>
      <c r="G12" s="2012">
        <f>'F24'!G11/6</f>
        <v>66.995000000000005</v>
      </c>
      <c r="H12" s="2012">
        <v>128.19899690940599</v>
      </c>
      <c r="I12" s="1471">
        <v>124.93</v>
      </c>
      <c r="J12" s="1471"/>
      <c r="K12" s="1471"/>
      <c r="L12" s="1471">
        <v>133.54499999999999</v>
      </c>
      <c r="M12" s="1471">
        <f ca="1">ARR!L26/6</f>
        <v>189.50078018233646</v>
      </c>
      <c r="N12" s="1471">
        <f ca="1">'F24'!M11/6</f>
        <v>201.23486366339489</v>
      </c>
      <c r="O12" s="346">
        <f ca="1">N12*6</f>
        <v>1207.4091819803693</v>
      </c>
      <c r="P12" s="2240">
        <f ca="1">1/6*ARR!N27</f>
        <v>278.91474300164407</v>
      </c>
    </row>
    <row r="13" spans="2:17" ht="26.25" customHeight="1">
      <c r="B13" s="2087">
        <v>2</v>
      </c>
      <c r="C13" s="1808" t="s">
        <v>146</v>
      </c>
      <c r="D13" s="2013">
        <v>44.357340856755719</v>
      </c>
      <c r="E13" s="2014">
        <v>26.69</v>
      </c>
      <c r="F13" s="1784"/>
      <c r="G13" s="1784" t="e">
        <f>15%*('F1'!$G$42+#REF!+#REF!)</f>
        <v>#REF!</v>
      </c>
      <c r="H13" s="1784">
        <v>54.763209458749323</v>
      </c>
      <c r="I13" s="1471">
        <v>44.07</v>
      </c>
      <c r="J13" s="1471"/>
      <c r="K13" s="1471"/>
      <c r="L13" s="1471">
        <f>15%*SUM(ARR!K11:K13)</f>
        <v>50.091254674638201</v>
      </c>
      <c r="M13" s="1471">
        <f>15%*SUM(ARR!L11:L13)</f>
        <v>64.500035816964484</v>
      </c>
      <c r="N13" s="1471">
        <f>15%*SUM(ARR!M11:M13)</f>
        <v>57.563599089909289</v>
      </c>
      <c r="O13" s="346"/>
      <c r="P13" s="1471">
        <f>15%*SUM(ARR!N11:N13)</f>
        <v>73.570662824412224</v>
      </c>
    </row>
    <row r="14" spans="2:17" ht="26.25" customHeight="1">
      <c r="B14" s="2087">
        <v>3</v>
      </c>
      <c r="C14" s="1865" t="s">
        <v>147</v>
      </c>
      <c r="D14" s="2015">
        <v>24.642967142642068</v>
      </c>
      <c r="E14" s="1478">
        <v>14.83</v>
      </c>
      <c r="F14" s="1395"/>
      <c r="G14" s="1784" t="e">
        <f>1/12*('F1'!$G$42+#REF!+#REF!)</f>
        <v>#REF!</v>
      </c>
      <c r="H14" s="1784">
        <v>30.424005254860734</v>
      </c>
      <c r="I14" s="1471">
        <v>24.48</v>
      </c>
      <c r="J14" s="1471"/>
      <c r="K14" s="1471"/>
      <c r="L14" s="1471">
        <f>1/12*SUM(ARR!K11:K13)</f>
        <v>27.828474819243443</v>
      </c>
      <c r="M14" s="1471">
        <f>1/12*SUM(ARR!L11:L13)</f>
        <v>35.833353231646939</v>
      </c>
      <c r="N14" s="1471">
        <f>1/12*SUM(ARR!M11:M13)</f>
        <v>31.97977727217183</v>
      </c>
      <c r="O14" s="346"/>
      <c r="P14" s="91">
        <f>1/12*SUM(ARR!N11:N13)</f>
        <v>40.87259045800679</v>
      </c>
    </row>
    <row r="15" spans="2:17" ht="24" hidden="1" customHeight="1">
      <c r="B15" s="2087">
        <v>4</v>
      </c>
      <c r="C15" s="1808" t="s">
        <v>2687</v>
      </c>
      <c r="D15" s="1395">
        <v>176.07992175515548</v>
      </c>
      <c r="E15" s="1396">
        <v>108.52</v>
      </c>
      <c r="F15" s="1395">
        <f>'Schedules of Accounts'!E213/10^7</f>
        <v>756.37090000000001</v>
      </c>
      <c r="G15" s="1395" t="e">
        <f>SUM(G12:G14)</f>
        <v>#REF!</v>
      </c>
      <c r="H15" s="1784">
        <v>213.38621162301604</v>
      </c>
      <c r="I15" s="1471">
        <v>193.48</v>
      </c>
      <c r="J15" s="1471">
        <v>100</v>
      </c>
      <c r="K15" s="1471"/>
      <c r="L15" s="1471">
        <f>SUM(L12:L14)</f>
        <v>211.46472949388163</v>
      </c>
      <c r="M15" s="1471"/>
      <c r="N15" s="1471">
        <f ca="1">SUM(N12:N14)</f>
        <v>290.77824002547601</v>
      </c>
      <c r="O15" s="346"/>
      <c r="P15" s="346"/>
    </row>
    <row r="16" spans="2:17" ht="24" hidden="1" customHeight="1">
      <c r="B16" s="2087">
        <v>5</v>
      </c>
      <c r="C16" s="1808" t="s">
        <v>2686</v>
      </c>
      <c r="D16" s="1395"/>
      <c r="E16" s="1396"/>
      <c r="F16" s="1395"/>
      <c r="G16" s="1395"/>
      <c r="H16" s="1784"/>
      <c r="I16" s="1471"/>
      <c r="J16" s="1471"/>
      <c r="K16" s="1471"/>
      <c r="L16" s="1471"/>
      <c r="M16" s="1471"/>
      <c r="N16" s="1471"/>
      <c r="O16" s="346"/>
      <c r="P16" s="346"/>
    </row>
    <row r="17" spans="2:16" ht="24" customHeight="1">
      <c r="B17" s="2087">
        <v>4</v>
      </c>
      <c r="C17" s="1808" t="s">
        <v>2688</v>
      </c>
      <c r="D17" s="1395"/>
      <c r="E17" s="1396"/>
      <c r="F17" s="1395"/>
      <c r="G17" s="1395"/>
      <c r="H17" s="1784"/>
      <c r="I17" s="1471"/>
      <c r="J17" s="1471"/>
      <c r="K17" s="1471"/>
      <c r="L17" s="1471">
        <f>SUM(L15:L16)</f>
        <v>211.46472949388163</v>
      </c>
      <c r="M17" s="1471">
        <f ca="1">SUM(M12:M16)</f>
        <v>289.83416923094785</v>
      </c>
      <c r="N17" s="1471">
        <f ca="1">SUM(N15:N16)</f>
        <v>290.77824002547601</v>
      </c>
      <c r="O17" s="346"/>
      <c r="P17" s="1471">
        <f ca="1">SUM(P12:P16)</f>
        <v>393.35799628406312</v>
      </c>
    </row>
    <row r="18" spans="2:16" ht="27" customHeight="1">
      <c r="B18" s="2087">
        <v>5</v>
      </c>
      <c r="C18" s="1808" t="s">
        <v>1326</v>
      </c>
      <c r="D18" s="1796">
        <v>0.11749999999999999</v>
      </c>
      <c r="E18" s="1797">
        <v>0.11749999999999999</v>
      </c>
      <c r="F18" s="1796">
        <f>F19/F15</f>
        <v>0.10510716369442558</v>
      </c>
      <c r="G18" s="2016">
        <v>0.1275</v>
      </c>
      <c r="H18" s="2017">
        <f>H19/H15</f>
        <v>0.11749999999999999</v>
      </c>
      <c r="I18" s="1798">
        <v>0.13</v>
      </c>
      <c r="J18" s="1471"/>
      <c r="K18" s="1471"/>
      <c r="L18" s="2018">
        <f>SBI_PLR</f>
        <v>0.14749999999999999</v>
      </c>
      <c r="M18" s="2018">
        <f>L18</f>
        <v>0.14749999999999999</v>
      </c>
      <c r="N18" s="2018">
        <v>0.14749999999999999</v>
      </c>
      <c r="O18" s="346"/>
      <c r="P18" s="2241">
        <f>N18</f>
        <v>0.14749999999999999</v>
      </c>
    </row>
    <row r="19" spans="2:16" ht="27.75" customHeight="1">
      <c r="B19" s="2087">
        <v>6</v>
      </c>
      <c r="C19" s="1864" t="s">
        <v>340</v>
      </c>
      <c r="D19" s="2242">
        <v>20.689390806230769</v>
      </c>
      <c r="E19" s="2242">
        <f>E15*E18</f>
        <v>12.751099999999999</v>
      </c>
      <c r="F19" s="2242">
        <f>'Schedules of Accounts'!E230/10^7</f>
        <v>79.5</v>
      </c>
      <c r="G19" s="2242" t="e">
        <f>G15*G18</f>
        <v>#REF!</v>
      </c>
      <c r="H19" s="1823">
        <v>25.072879865704383</v>
      </c>
      <c r="I19" s="2243">
        <f>I15*I18</f>
        <v>25.1524</v>
      </c>
      <c r="J19" s="2243">
        <v>4.3099999999999996</v>
      </c>
      <c r="K19" s="2243"/>
      <c r="L19" s="2243">
        <f>L17*L18</f>
        <v>31.191047600347538</v>
      </c>
      <c r="M19" s="2243">
        <f ca="1">M17*M18</f>
        <v>42.750539961564805</v>
      </c>
      <c r="N19" s="2243">
        <f ca="1">N17*N18</f>
        <v>42.889790403757708</v>
      </c>
      <c r="O19" s="346"/>
      <c r="P19" s="2243">
        <f ca="1">P17*P18</f>
        <v>58.020304451899307</v>
      </c>
    </row>
    <row r="21" spans="2:16" hidden="1">
      <c r="L21" s="2020">
        <f>L15*L18</f>
        <v>31.191047600347538</v>
      </c>
      <c r="M21" s="2020"/>
      <c r="N21" s="2020">
        <f ca="1">N15*N18</f>
        <v>42.889790403757708</v>
      </c>
    </row>
    <row r="22" spans="2:16" hidden="1">
      <c r="L22" s="1530">
        <f>L19-L21</f>
        <v>0</v>
      </c>
      <c r="M22" s="1530"/>
      <c r="N22" s="1530">
        <f ca="1">N19-N21</f>
        <v>0</v>
      </c>
    </row>
  </sheetData>
  <sheetProtection selectLockedCells="1" selectUnlockedCells="1"/>
  <mergeCells count="10">
    <mergeCell ref="B2:N2"/>
    <mergeCell ref="B3:N3"/>
    <mergeCell ref="B5:N5"/>
    <mergeCell ref="B6:N6"/>
    <mergeCell ref="B9:B10"/>
    <mergeCell ref="C9:C10"/>
    <mergeCell ref="D9:G9"/>
    <mergeCell ref="L9:M9"/>
    <mergeCell ref="N9:P9"/>
    <mergeCell ref="P4:Q4"/>
  </mergeCells>
  <phoneticPr fontId="14" type="noConversion"/>
  <printOptions horizontalCentered="1"/>
  <pageMargins left="0.7" right="0.7" top="0.75" bottom="0.75" header="0.3" footer="0.3"/>
  <pageSetup paperSize="9" scale="65" firstPageNumber="14" orientation="landscape" useFirstPageNumber="1" r:id="rId1"/>
  <headerFooter>
    <oddFooter>&amp;R&amp;P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B2:L40"/>
  <sheetViews>
    <sheetView view="pageBreakPreview" zoomScale="69" zoomScaleSheetLayoutView="69" workbookViewId="0">
      <selection activeCell="G34" sqref="G34"/>
    </sheetView>
  </sheetViews>
  <sheetFormatPr defaultRowHeight="15.75"/>
  <cols>
    <col min="1" max="1" width="4.140625" style="1872" customWidth="1"/>
    <col min="2" max="2" width="7.5703125" style="1872" customWidth="1"/>
    <col min="3" max="3" width="59" style="1872" customWidth="1"/>
    <col min="4" max="4" width="14.140625" style="1872" hidden="1" customWidth="1"/>
    <col min="5" max="5" width="15" style="1872" hidden="1" customWidth="1"/>
    <col min="6" max="6" width="22.7109375" style="1872" customWidth="1"/>
    <col min="7" max="7" width="21.140625" style="1872" customWidth="1"/>
    <col min="8" max="8" width="23.42578125" style="1872" customWidth="1"/>
    <col min="9" max="9" width="14.140625" style="1872" customWidth="1"/>
    <col min="10" max="10" width="14.7109375" style="1872" customWidth="1"/>
    <col min="11" max="11" width="14.42578125" style="1872" customWidth="1"/>
    <col min="12" max="12" width="20.42578125" style="1872" customWidth="1"/>
    <col min="13" max="16384" width="9.140625" style="1872"/>
  </cols>
  <sheetData>
    <row r="2" spans="2:12" ht="15.75" customHeight="1">
      <c r="B2" s="2418" t="s">
        <v>2549</v>
      </c>
      <c r="C2" s="2418"/>
      <c r="D2" s="2418"/>
      <c r="E2" s="2418"/>
      <c r="F2" s="2418"/>
      <c r="G2" s="2418"/>
      <c r="H2" s="2418"/>
      <c r="I2" s="8"/>
    </row>
    <row r="3" spans="2:12" ht="15.75" customHeight="1">
      <c r="B3" s="2419" t="s">
        <v>2689</v>
      </c>
      <c r="C3" s="2419"/>
      <c r="D3" s="2419"/>
      <c r="E3" s="2419"/>
      <c r="F3" s="2419"/>
      <c r="G3" s="2419"/>
      <c r="H3" s="2419"/>
      <c r="I3" s="8"/>
    </row>
    <row r="4" spans="2:12">
      <c r="C4" s="1843"/>
      <c r="D4" s="1843"/>
      <c r="E4" s="1843"/>
      <c r="F4" s="1843"/>
      <c r="G4" s="1843"/>
      <c r="H4" s="1843"/>
      <c r="I4" s="8"/>
    </row>
    <row r="5" spans="2:12">
      <c r="B5" s="2548" t="s">
        <v>2585</v>
      </c>
      <c r="C5" s="2548"/>
      <c r="D5" s="2548"/>
      <c r="E5" s="2548"/>
      <c r="F5" s="2548"/>
      <c r="G5" s="2548"/>
      <c r="H5" s="2548"/>
      <c r="I5" s="8"/>
    </row>
    <row r="6" spans="2:12" ht="15.75" customHeight="1">
      <c r="B6" s="2549" t="s">
        <v>2551</v>
      </c>
      <c r="C6" s="2549"/>
      <c r="D6" s="2549"/>
      <c r="E6" s="2549"/>
      <c r="F6" s="2549"/>
      <c r="G6" s="2549"/>
      <c r="H6" s="2549"/>
      <c r="I6" s="1472"/>
    </row>
    <row r="7" spans="2:12" ht="15.75" customHeight="1" thickBot="1">
      <c r="B7" s="1857"/>
      <c r="C7" s="1857"/>
      <c r="D7" s="1857"/>
      <c r="E7" s="1857"/>
      <c r="F7" s="1857"/>
      <c r="G7" s="1857"/>
      <c r="H7" s="1467" t="s">
        <v>96</v>
      </c>
      <c r="I7" s="1472"/>
    </row>
    <row r="8" spans="2:12" ht="15.75" hidden="1" customHeight="1" thickBot="1">
      <c r="B8" s="2021" t="s">
        <v>1370</v>
      </c>
      <c r="C8" s="2021"/>
      <c r="D8" s="2021"/>
    </row>
    <row r="9" spans="2:12" ht="31.5" hidden="1" customHeight="1">
      <c r="B9" s="2553" t="s">
        <v>349</v>
      </c>
      <c r="C9" s="2553" t="s">
        <v>331</v>
      </c>
      <c r="D9" s="2555" t="s">
        <v>2748</v>
      </c>
      <c r="E9" s="2556"/>
      <c r="F9" s="2556"/>
      <c r="G9" s="2557"/>
      <c r="H9" s="2555" t="s">
        <v>2591</v>
      </c>
      <c r="I9" s="2556"/>
      <c r="J9" s="2556"/>
      <c r="K9" s="2557"/>
      <c r="L9" s="1859" t="s">
        <v>2592</v>
      </c>
    </row>
    <row r="10" spans="2:12" ht="31.5" hidden="1" customHeight="1">
      <c r="B10" s="2554"/>
      <c r="C10" s="2554"/>
      <c r="D10" s="296" t="s">
        <v>1228</v>
      </c>
      <c r="E10" s="1848" t="s">
        <v>1036</v>
      </c>
      <c r="F10" s="1842" t="s">
        <v>1038</v>
      </c>
      <c r="G10" s="542" t="s">
        <v>1037</v>
      </c>
      <c r="H10" s="964" t="s">
        <v>1228</v>
      </c>
      <c r="I10" s="1848" t="s">
        <v>1229</v>
      </c>
      <c r="J10" s="1848" t="s">
        <v>1230</v>
      </c>
      <c r="K10" s="1860" t="s">
        <v>1231</v>
      </c>
      <c r="L10" s="302" t="s">
        <v>1040</v>
      </c>
    </row>
    <row r="11" spans="2:12" ht="16.5" hidden="1" customHeight="1" thickBot="1">
      <c r="B11" s="504"/>
      <c r="C11" s="505" t="s">
        <v>1042</v>
      </c>
      <c r="D11" s="544">
        <v>1</v>
      </c>
      <c r="E11" s="500">
        <v>2</v>
      </c>
      <c r="F11" s="500">
        <v>3</v>
      </c>
      <c r="G11" s="562">
        <v>4</v>
      </c>
      <c r="H11" s="499">
        <v>5</v>
      </c>
      <c r="I11" s="500">
        <v>7</v>
      </c>
      <c r="J11" s="500">
        <v>8</v>
      </c>
      <c r="K11" s="501" t="s">
        <v>1043</v>
      </c>
      <c r="L11" s="502">
        <v>10</v>
      </c>
    </row>
    <row r="12" spans="2:12" ht="15" hidden="1" customHeight="1">
      <c r="B12" s="2022">
        <v>1</v>
      </c>
      <c r="C12" s="2023" t="s">
        <v>1373</v>
      </c>
      <c r="D12" s="2024">
        <v>29.039574999999999</v>
      </c>
      <c r="E12" s="2025"/>
      <c r="F12" s="2026">
        <f>'Schedules of Accounts'!E223/10^7</f>
        <v>27.994661099999998</v>
      </c>
      <c r="G12" s="2027"/>
      <c r="H12" s="2028">
        <v>23.644100000000005</v>
      </c>
      <c r="I12" s="2029" t="e">
        <f>#REF!</f>
        <v>#REF!</v>
      </c>
      <c r="J12" s="2025"/>
      <c r="K12" s="2023"/>
      <c r="L12" s="2030"/>
    </row>
    <row r="13" spans="2:12" ht="15" hidden="1" customHeight="1">
      <c r="B13" s="1877">
        <v>2</v>
      </c>
      <c r="C13" s="2031" t="s">
        <v>1374</v>
      </c>
      <c r="D13" s="2032">
        <v>33.252967032999997</v>
      </c>
      <c r="E13" s="2033"/>
      <c r="F13" s="2029">
        <f>'Schedules of Accounts'!E221/10^7</f>
        <v>29.074518300000001</v>
      </c>
      <c r="G13" s="2034"/>
      <c r="H13" s="2035">
        <v>28.752133699666668</v>
      </c>
      <c r="I13" s="2029" t="e">
        <f>#REF!</f>
        <v>#REF!</v>
      </c>
      <c r="J13" s="2033"/>
      <c r="K13" s="1879"/>
      <c r="L13" s="2036"/>
    </row>
    <row r="14" spans="2:12" ht="15" hidden="1" customHeight="1">
      <c r="B14" s="1877">
        <v>3</v>
      </c>
      <c r="C14" s="2031" t="s">
        <v>1375</v>
      </c>
      <c r="D14" s="2032">
        <v>59.405263656340928</v>
      </c>
      <c r="E14" s="2033"/>
      <c r="F14" s="2029">
        <f>'Schedules of Accounts'!E222/10^7</f>
        <v>35.471117999999997</v>
      </c>
      <c r="G14" s="2034"/>
      <c r="H14" s="2035">
        <v>121.21529829868419</v>
      </c>
      <c r="I14" s="2029" t="e">
        <f>#REF!</f>
        <v>#REF!</v>
      </c>
      <c r="J14" s="2033"/>
      <c r="K14" s="1879"/>
      <c r="L14" s="2036"/>
    </row>
    <row r="15" spans="2:12" ht="15" hidden="1" customHeight="1">
      <c r="B15" s="2037">
        <v>4</v>
      </c>
      <c r="C15" s="2038" t="s">
        <v>1414</v>
      </c>
      <c r="D15" s="2039">
        <f>SUM(D12:D14)</f>
        <v>121.69780568934092</v>
      </c>
      <c r="E15" s="2040">
        <v>101.56</v>
      </c>
      <c r="F15" s="2040">
        <f>SUM(F12:F14)</f>
        <v>92.540297399999986</v>
      </c>
      <c r="G15" s="2041"/>
      <c r="H15" s="2042">
        <f>SUM(H12:H14)</f>
        <v>173.61153199835087</v>
      </c>
      <c r="I15" s="2040" t="e">
        <f>SUM(I12:I14)</f>
        <v>#REF!</v>
      </c>
      <c r="J15" s="2043"/>
      <c r="K15" s="2044"/>
      <c r="L15" s="2045"/>
    </row>
    <row r="16" spans="2:12" ht="15" hidden="1" customHeight="1">
      <c r="B16" s="2037">
        <v>5</v>
      </c>
      <c r="C16" s="2038" t="s">
        <v>1377</v>
      </c>
      <c r="D16" s="2046">
        <v>29.877851339913263</v>
      </c>
      <c r="E16" s="2047">
        <v>4.57</v>
      </c>
      <c r="F16" s="2048">
        <f>'Schedules of Accounts'!E25/10^7</f>
        <v>18.2622</v>
      </c>
      <c r="G16" s="2041"/>
      <c r="H16" s="2042">
        <v>35.568222971573661</v>
      </c>
      <c r="I16" s="2043">
        <v>0</v>
      </c>
      <c r="J16" s="2043"/>
      <c r="K16" s="2044"/>
      <c r="L16" s="2045"/>
    </row>
    <row r="17" spans="2:12" ht="15" hidden="1" customHeight="1">
      <c r="B17" s="2037">
        <v>6</v>
      </c>
      <c r="C17" s="2038" t="s">
        <v>1413</v>
      </c>
      <c r="D17" s="2046"/>
      <c r="E17" s="2047">
        <v>24.77</v>
      </c>
      <c r="F17" s="2048"/>
      <c r="G17" s="2041"/>
      <c r="H17" s="2042"/>
      <c r="I17" s="2043">
        <v>0</v>
      </c>
      <c r="J17" s="2043"/>
      <c r="K17" s="2044"/>
      <c r="L17" s="2045"/>
    </row>
    <row r="18" spans="2:12" ht="15.75" hidden="1" customHeight="1" thickBot="1">
      <c r="B18" s="1886">
        <v>7</v>
      </c>
      <c r="C18" s="1888" t="s">
        <v>1376</v>
      </c>
      <c r="D18" s="2049">
        <f>D15-D16</f>
        <v>91.819954349427661</v>
      </c>
      <c r="E18" s="2050">
        <f>E15-SUM(E16:E17)</f>
        <v>72.22</v>
      </c>
      <c r="F18" s="2051">
        <f>F15-F16</f>
        <v>74.278097399999979</v>
      </c>
      <c r="G18" s="2052"/>
      <c r="H18" s="2053">
        <f>H15-H16</f>
        <v>138.04330902677719</v>
      </c>
      <c r="I18" s="2051" t="e">
        <f>I15-SUM(I16:I17)</f>
        <v>#REF!</v>
      </c>
      <c r="J18" s="2054"/>
      <c r="K18" s="1888"/>
      <c r="L18" s="2055"/>
    </row>
    <row r="19" spans="2:12" ht="15" hidden="1" customHeight="1"/>
    <row r="20" spans="2:12" ht="15" hidden="1" customHeight="1">
      <c r="B20" s="1872" t="s">
        <v>1371</v>
      </c>
    </row>
    <row r="21" spans="2:12" ht="15.75" hidden="1" customHeight="1" thickBot="1">
      <c r="B21" s="1872" t="s">
        <v>1372</v>
      </c>
    </row>
    <row r="22" spans="2:12" ht="31.5">
      <c r="B22" s="2550" t="s">
        <v>349</v>
      </c>
      <c r="C22" s="2552" t="s">
        <v>331</v>
      </c>
      <c r="D22" s="2552" t="s">
        <v>1751</v>
      </c>
      <c r="E22" s="2552"/>
      <c r="F22" s="2552" t="s">
        <v>2591</v>
      </c>
      <c r="G22" s="2552"/>
      <c r="H22" s="2142" t="s">
        <v>2592</v>
      </c>
    </row>
    <row r="23" spans="2:12">
      <c r="B23" s="2551"/>
      <c r="C23" s="2558"/>
      <c r="D23" s="2147" t="s">
        <v>1036</v>
      </c>
      <c r="E23" s="2147" t="s">
        <v>1037</v>
      </c>
      <c r="F23" s="2147" t="s">
        <v>1036</v>
      </c>
      <c r="G23" s="2147" t="s">
        <v>2508</v>
      </c>
      <c r="H23" s="2148" t="s">
        <v>1040</v>
      </c>
    </row>
    <row r="24" spans="2:12">
      <c r="B24" s="1877">
        <v>1</v>
      </c>
      <c r="C24" s="2033" t="s">
        <v>408</v>
      </c>
      <c r="D24" s="2056">
        <v>870.2</v>
      </c>
      <c r="E24" s="2056">
        <f ca="1">'F21'!E24</f>
        <v>0</v>
      </c>
      <c r="F24" s="2057">
        <v>1716.05</v>
      </c>
      <c r="G24" s="2057">
        <f>'F21 detailed'!D42</f>
        <v>1623.2292907000001</v>
      </c>
      <c r="H24" s="2058">
        <f>'F21 detailed'!D52</f>
        <v>2537.6669520684854</v>
      </c>
    </row>
    <row r="25" spans="2:12">
      <c r="B25" s="1877">
        <v>2</v>
      </c>
      <c r="C25" s="2033" t="s">
        <v>2233</v>
      </c>
      <c r="D25" s="2059">
        <v>398.55</v>
      </c>
      <c r="E25" s="2056">
        <f ca="1">'F21'!E25</f>
        <v>0</v>
      </c>
      <c r="F25" s="2057">
        <v>1100</v>
      </c>
      <c r="G25" s="2057">
        <f>'F21 detailed'!F42</f>
        <v>1060.1348156684851</v>
      </c>
      <c r="H25" s="2058">
        <f>'F21 detailed'!F52</f>
        <v>981.58327759898464</v>
      </c>
    </row>
    <row r="26" spans="2:12">
      <c r="B26" s="1877">
        <v>3</v>
      </c>
      <c r="C26" s="2060" t="s">
        <v>2234</v>
      </c>
      <c r="D26" s="2061">
        <f>109.64</f>
        <v>109.64</v>
      </c>
      <c r="E26" s="2056">
        <f ca="1">'F21'!E26</f>
        <v>0</v>
      </c>
      <c r="F26" s="2057">
        <v>127.69</v>
      </c>
      <c r="G26" s="2057">
        <f>'F21 detailed'!G42</f>
        <v>145.69715429999999</v>
      </c>
      <c r="H26" s="2058">
        <f>'F21 detailed'!G52</f>
        <v>150.03738659999999</v>
      </c>
    </row>
    <row r="27" spans="2:12">
      <c r="B27" s="1877">
        <v>4</v>
      </c>
      <c r="C27" s="2033" t="s">
        <v>142</v>
      </c>
      <c r="D27" s="2062">
        <f>D24+D25-D26</f>
        <v>1159.1099999999999</v>
      </c>
      <c r="E27" s="2056">
        <f ca="1">'F21'!E27</f>
        <v>0</v>
      </c>
      <c r="F27" s="2057">
        <f>F24+F25-F26</f>
        <v>2688.36</v>
      </c>
      <c r="G27" s="2057">
        <f>G24+G25-G26</f>
        <v>2537.6669520684854</v>
      </c>
      <c r="H27" s="2058">
        <f>H24+H25-H26</f>
        <v>3369.2128430674702</v>
      </c>
    </row>
    <row r="28" spans="2:12">
      <c r="B28" s="1877">
        <v>5</v>
      </c>
      <c r="C28" s="2033" t="s">
        <v>1895</v>
      </c>
      <c r="D28" s="2061">
        <v>101.56</v>
      </c>
      <c r="E28" s="2056">
        <f ca="1">'F21'!E28</f>
        <v>0</v>
      </c>
      <c r="F28" s="2057">
        <f>275.27+3.96</f>
        <v>279.22999999999996</v>
      </c>
      <c r="G28" s="2057">
        <f>'F21 detailed'!I42</f>
        <v>241.363488430855</v>
      </c>
      <c r="H28" s="2058">
        <f>'F21 detailed'!I52</f>
        <v>364.84157286474721</v>
      </c>
    </row>
    <row r="29" spans="2:12">
      <c r="B29" s="1877">
        <v>6</v>
      </c>
      <c r="C29" s="2033" t="s">
        <v>2235</v>
      </c>
      <c r="D29" s="2059">
        <v>4.57</v>
      </c>
      <c r="E29" s="2056">
        <f ca="1">'F21'!E29</f>
        <v>0</v>
      </c>
      <c r="F29" s="2057">
        <v>9.99</v>
      </c>
      <c r="G29" s="2057">
        <f>'F8'!L10</f>
        <v>40</v>
      </c>
      <c r="H29" s="2058">
        <f>'F8'!M10</f>
        <v>10</v>
      </c>
    </row>
    <row r="30" spans="2:12" ht="17.25" customHeight="1">
      <c r="B30" s="1877">
        <v>7</v>
      </c>
      <c r="C30" s="2060" t="s">
        <v>1413</v>
      </c>
      <c r="D30" s="2061">
        <f>E17</f>
        <v>24.77</v>
      </c>
      <c r="E30" s="2062">
        <f ca="1">'F21'!E30</f>
        <v>0</v>
      </c>
      <c r="F30" s="2057">
        <v>24.39</v>
      </c>
      <c r="G30" s="2057"/>
      <c r="H30" s="2058"/>
    </row>
    <row r="31" spans="2:12">
      <c r="B31" s="2063">
        <v>8</v>
      </c>
      <c r="C31" s="2064" t="s">
        <v>197</v>
      </c>
      <c r="D31" s="2065">
        <f>D28-D29-D30</f>
        <v>72.220000000000013</v>
      </c>
      <c r="E31" s="2066">
        <f ca="1">'F21'!E31</f>
        <v>0</v>
      </c>
      <c r="F31" s="2067">
        <f>F28-F29-F30</f>
        <v>244.84999999999997</v>
      </c>
      <c r="G31" s="2067">
        <f>G28-G29</f>
        <v>201.363488430855</v>
      </c>
      <c r="H31" s="2068">
        <f>H28-H29</f>
        <v>354.84157286474721</v>
      </c>
    </row>
    <row r="32" spans="2:12">
      <c r="B32" s="2063">
        <v>9</v>
      </c>
      <c r="C32" s="2064" t="s">
        <v>2236</v>
      </c>
      <c r="D32" s="2069">
        <f>D28/((D24+D27)/2)</f>
        <v>0.1000931351050357</v>
      </c>
      <c r="E32" s="2069">
        <f ca="1">'F21'!E32</f>
        <v>0</v>
      </c>
      <c r="F32" s="2132">
        <f>F28/((F24+F27)/2)</f>
        <v>0.12679564345735295</v>
      </c>
      <c r="G32" s="2133">
        <v>0.125</v>
      </c>
      <c r="H32" s="2134">
        <f>G32</f>
        <v>0.125</v>
      </c>
    </row>
    <row r="33" spans="2:8">
      <c r="B33" s="2070">
        <v>10</v>
      </c>
      <c r="C33" s="2064" t="s">
        <v>2417</v>
      </c>
      <c r="D33" s="2071"/>
      <c r="E33" s="2066">
        <f>'F21'!E34</f>
        <v>0</v>
      </c>
      <c r="F33" s="2072"/>
      <c r="G33" s="2067">
        <v>4</v>
      </c>
      <c r="H33" s="2068">
        <v>4</v>
      </c>
    </row>
    <row r="34" spans="2:8" ht="16.5" thickBot="1">
      <c r="B34" s="2073">
        <v>11</v>
      </c>
      <c r="C34" s="2074" t="s">
        <v>1028</v>
      </c>
      <c r="D34" s="2075">
        <f t="shared" ref="D34:H34" si="0">D31+D33</f>
        <v>72.220000000000013</v>
      </c>
      <c r="E34" s="2076">
        <f>'F21'!E35</f>
        <v>0</v>
      </c>
      <c r="F34" s="2077">
        <f t="shared" si="0"/>
        <v>244.84999999999997</v>
      </c>
      <c r="G34" s="2077">
        <f t="shared" si="0"/>
        <v>205.363488430855</v>
      </c>
      <c r="H34" s="2078">
        <f t="shared" si="0"/>
        <v>358.84157286474721</v>
      </c>
    </row>
    <row r="35" spans="2:8">
      <c r="B35" s="2079"/>
    </row>
    <row r="36" spans="2:8">
      <c r="E36" s="2080"/>
    </row>
    <row r="38" spans="2:8">
      <c r="D38" s="2081"/>
      <c r="E38" s="2081"/>
      <c r="F38" s="2081"/>
      <c r="G38" s="2081"/>
      <c r="H38" s="2081"/>
    </row>
    <row r="40" spans="2:8">
      <c r="F40" s="2082"/>
    </row>
  </sheetData>
  <sheetProtection selectLockedCells="1" selectUnlockedCells="1"/>
  <mergeCells count="12">
    <mergeCell ref="B2:H2"/>
    <mergeCell ref="B3:H3"/>
    <mergeCell ref="B5:H5"/>
    <mergeCell ref="B6:H6"/>
    <mergeCell ref="B22:B23"/>
    <mergeCell ref="F22:G22"/>
    <mergeCell ref="B9:B10"/>
    <mergeCell ref="C9:C10"/>
    <mergeCell ref="D9:G9"/>
    <mergeCell ref="H9:K9"/>
    <mergeCell ref="D22:E22"/>
    <mergeCell ref="C22:C23"/>
  </mergeCells>
  <printOptions horizontalCentered="1"/>
  <pageMargins left="0.7" right="0.7" top="0.75" bottom="0.75" header="0.3" footer="0.3"/>
  <pageSetup paperSize="9" scale="95" firstPageNumber="15" orientation="landscape" useFirstPageNumber="1" r:id="rId1"/>
  <headerFoot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B2:N40"/>
  <sheetViews>
    <sheetView view="pageBreakPreview" topLeftCell="B1" zoomScale="69" zoomScaleSheetLayoutView="69" workbookViewId="0">
      <selection activeCell="J4" sqref="J4"/>
    </sheetView>
  </sheetViews>
  <sheetFormatPr defaultRowHeight="15.75"/>
  <cols>
    <col min="1" max="1" width="4.140625" style="1872" customWidth="1"/>
    <col min="2" max="2" width="7.5703125" style="1872" customWidth="1"/>
    <col min="3" max="3" width="59" style="1872" customWidth="1"/>
    <col min="4" max="4" width="14.140625" style="1872" hidden="1" customWidth="1"/>
    <col min="5" max="5" width="15" style="1872" hidden="1" customWidth="1"/>
    <col min="6" max="6" width="22.7109375" style="1872" hidden="1" customWidth="1"/>
    <col min="7" max="7" width="22.7109375" style="1872" customWidth="1"/>
    <col min="8" max="9" width="21.140625" style="1872" customWidth="1"/>
    <col min="10" max="10" width="23.42578125" style="1872" customWidth="1"/>
    <col min="11" max="11" width="14.140625" style="1872" customWidth="1"/>
    <col min="12" max="12" width="14.7109375" style="1872" customWidth="1"/>
    <col min="13" max="13" width="14.42578125" style="1872" customWidth="1"/>
    <col min="14" max="14" width="20.42578125" style="1872" customWidth="1"/>
    <col min="15" max="16384" width="9.140625" style="1872"/>
  </cols>
  <sheetData>
    <row r="2" spans="2:14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  <c r="J2" s="2418"/>
      <c r="K2" s="8"/>
    </row>
    <row r="3" spans="2:14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  <c r="J3" s="2419"/>
      <c r="K3" s="8"/>
    </row>
    <row r="4" spans="2:14">
      <c r="C4" s="2184"/>
      <c r="D4" s="2184"/>
      <c r="E4" s="2184"/>
      <c r="F4" s="2184"/>
      <c r="G4" s="2224"/>
      <c r="H4" s="2184"/>
      <c r="I4" s="2224"/>
      <c r="J4" s="2184" t="s">
        <v>2796</v>
      </c>
      <c r="K4" s="8"/>
    </row>
    <row r="5" spans="2:14">
      <c r="B5" s="2548" t="s">
        <v>2585</v>
      </c>
      <c r="C5" s="2548"/>
      <c r="D5" s="2548"/>
      <c r="E5" s="2548"/>
      <c r="F5" s="2548"/>
      <c r="G5" s="2548"/>
      <c r="H5" s="2548"/>
      <c r="I5" s="2548"/>
      <c r="J5" s="2548"/>
      <c r="K5" s="8"/>
    </row>
    <row r="6" spans="2:14" ht="15.75" customHeight="1">
      <c r="B6" s="2549" t="s">
        <v>2551</v>
      </c>
      <c r="C6" s="2549"/>
      <c r="D6" s="2549"/>
      <c r="E6" s="2549"/>
      <c r="F6" s="2549"/>
      <c r="G6" s="2549"/>
      <c r="H6" s="2549"/>
      <c r="I6" s="2549"/>
      <c r="J6" s="2549"/>
      <c r="K6" s="1472"/>
    </row>
    <row r="7" spans="2:14" ht="15.75" customHeight="1" thickBot="1">
      <c r="B7" s="2203"/>
      <c r="C7" s="2203"/>
      <c r="D7" s="2203"/>
      <c r="E7" s="2203"/>
      <c r="F7" s="2203"/>
      <c r="G7" s="2230"/>
      <c r="H7" s="2203"/>
      <c r="I7" s="2230"/>
      <c r="J7" s="1467" t="s">
        <v>96</v>
      </c>
      <c r="K7" s="1472"/>
    </row>
    <row r="8" spans="2:14" ht="15.75" hidden="1" customHeight="1" thickBot="1">
      <c r="B8" s="2021" t="s">
        <v>1370</v>
      </c>
      <c r="C8" s="2021"/>
      <c r="D8" s="2021"/>
    </row>
    <row r="9" spans="2:14" ht="31.5" hidden="1" customHeight="1">
      <c r="B9" s="2553" t="s">
        <v>349</v>
      </c>
      <c r="C9" s="2553" t="s">
        <v>331</v>
      </c>
      <c r="D9" s="2555" t="s">
        <v>2748</v>
      </c>
      <c r="E9" s="2556"/>
      <c r="F9" s="2556"/>
      <c r="G9" s="2556"/>
      <c r="H9" s="2557"/>
      <c r="I9" s="2231"/>
      <c r="J9" s="2555" t="s">
        <v>2591</v>
      </c>
      <c r="K9" s="2556"/>
      <c r="L9" s="2556"/>
      <c r="M9" s="2557"/>
      <c r="N9" s="2190" t="s">
        <v>2592</v>
      </c>
    </row>
    <row r="10" spans="2:14" ht="31.5" hidden="1" customHeight="1">
      <c r="B10" s="2554"/>
      <c r="C10" s="2554"/>
      <c r="D10" s="296" t="s">
        <v>1228</v>
      </c>
      <c r="E10" s="2195" t="s">
        <v>1036</v>
      </c>
      <c r="F10" s="2183" t="s">
        <v>1038</v>
      </c>
      <c r="G10" s="2244"/>
      <c r="H10" s="542" t="s">
        <v>1037</v>
      </c>
      <c r="I10" s="2250"/>
      <c r="J10" s="964" t="s">
        <v>1228</v>
      </c>
      <c r="K10" s="2195" t="s">
        <v>1229</v>
      </c>
      <c r="L10" s="2195" t="s">
        <v>1230</v>
      </c>
      <c r="M10" s="2205" t="s">
        <v>1231</v>
      </c>
      <c r="N10" s="302" t="s">
        <v>1040</v>
      </c>
    </row>
    <row r="11" spans="2:14" ht="16.5" hidden="1" customHeight="1" thickBot="1">
      <c r="B11" s="504"/>
      <c r="C11" s="505" t="s">
        <v>1042</v>
      </c>
      <c r="D11" s="544">
        <v>1</v>
      </c>
      <c r="E11" s="500">
        <v>2</v>
      </c>
      <c r="F11" s="500">
        <v>3</v>
      </c>
      <c r="G11" s="562"/>
      <c r="H11" s="562">
        <v>4</v>
      </c>
      <c r="I11" s="2251"/>
      <c r="J11" s="499">
        <v>5</v>
      </c>
      <c r="K11" s="500">
        <v>7</v>
      </c>
      <c r="L11" s="500">
        <v>8</v>
      </c>
      <c r="M11" s="501" t="s">
        <v>1043</v>
      </c>
      <c r="N11" s="502">
        <v>10</v>
      </c>
    </row>
    <row r="12" spans="2:14" ht="15" hidden="1" customHeight="1">
      <c r="B12" s="2022">
        <v>1</v>
      </c>
      <c r="C12" s="2023" t="s">
        <v>1373</v>
      </c>
      <c r="D12" s="2024">
        <v>29.039574999999999</v>
      </c>
      <c r="E12" s="2025"/>
      <c r="F12" s="2026">
        <f>'[2]Schedules of Accounts'!E223/10^7</f>
        <v>27.994661099999998</v>
      </c>
      <c r="G12" s="2245"/>
      <c r="H12" s="2027"/>
      <c r="I12" s="2252"/>
      <c r="J12" s="2028">
        <v>23.644100000000005</v>
      </c>
      <c r="K12" s="2029" t="e">
        <f>#REF!</f>
        <v>#REF!</v>
      </c>
      <c r="L12" s="2025"/>
      <c r="M12" s="2023"/>
      <c r="N12" s="2030"/>
    </row>
    <row r="13" spans="2:14" ht="15" hidden="1" customHeight="1">
      <c r="B13" s="1877">
        <v>2</v>
      </c>
      <c r="C13" s="2031" t="s">
        <v>1374</v>
      </c>
      <c r="D13" s="2032">
        <v>33.252967032999997</v>
      </c>
      <c r="E13" s="2033"/>
      <c r="F13" s="2029">
        <f>'[2]Schedules of Accounts'!E221/10^7</f>
        <v>29.074518300000001</v>
      </c>
      <c r="G13" s="2246"/>
      <c r="H13" s="2034"/>
      <c r="I13" s="2253"/>
      <c r="J13" s="2035">
        <v>28.752133699666668</v>
      </c>
      <c r="K13" s="2029" t="e">
        <f>#REF!</f>
        <v>#REF!</v>
      </c>
      <c r="L13" s="2033"/>
      <c r="M13" s="1879"/>
      <c r="N13" s="2036"/>
    </row>
    <row r="14" spans="2:14" ht="15" hidden="1" customHeight="1">
      <c r="B14" s="1877">
        <v>3</v>
      </c>
      <c r="C14" s="2031" t="s">
        <v>1375</v>
      </c>
      <c r="D14" s="2032">
        <v>59.405263656340928</v>
      </c>
      <c r="E14" s="2033"/>
      <c r="F14" s="2029">
        <f>'[2]Schedules of Accounts'!E222/10^7</f>
        <v>35.471117999999997</v>
      </c>
      <c r="G14" s="2246"/>
      <c r="H14" s="2034"/>
      <c r="I14" s="2253"/>
      <c r="J14" s="2035">
        <v>121.21529829868419</v>
      </c>
      <c r="K14" s="2029" t="e">
        <f>#REF!</f>
        <v>#REF!</v>
      </c>
      <c r="L14" s="2033"/>
      <c r="M14" s="1879"/>
      <c r="N14" s="2036"/>
    </row>
    <row r="15" spans="2:14" ht="15" hidden="1" customHeight="1">
      <c r="B15" s="2037">
        <v>4</v>
      </c>
      <c r="C15" s="2038" t="s">
        <v>1414</v>
      </c>
      <c r="D15" s="2039">
        <f>SUM(D12:D14)</f>
        <v>121.69780568934092</v>
      </c>
      <c r="E15" s="2040">
        <v>101.56</v>
      </c>
      <c r="F15" s="2040">
        <f>SUM(F12:F14)</f>
        <v>92.540297399999986</v>
      </c>
      <c r="G15" s="2247"/>
      <c r="H15" s="2041"/>
      <c r="I15" s="2254"/>
      <c r="J15" s="2042">
        <f>SUM(J12:J14)</f>
        <v>173.61153199835087</v>
      </c>
      <c r="K15" s="2040" t="e">
        <f>SUM(K12:K14)</f>
        <v>#REF!</v>
      </c>
      <c r="L15" s="2043"/>
      <c r="M15" s="2044"/>
      <c r="N15" s="2045"/>
    </row>
    <row r="16" spans="2:14" ht="15" hidden="1" customHeight="1">
      <c r="B16" s="2037">
        <v>5</v>
      </c>
      <c r="C16" s="2038" t="s">
        <v>1377</v>
      </c>
      <c r="D16" s="2046">
        <v>29.877851339913263</v>
      </c>
      <c r="E16" s="2047">
        <v>4.57</v>
      </c>
      <c r="F16" s="2048">
        <f>'[2]Schedules of Accounts'!E25/10^7</f>
        <v>18.2622</v>
      </c>
      <c r="G16" s="2248"/>
      <c r="H16" s="2041"/>
      <c r="I16" s="2254"/>
      <c r="J16" s="2042">
        <v>35.568222971573661</v>
      </c>
      <c r="K16" s="2043">
        <v>0</v>
      </c>
      <c r="L16" s="2043"/>
      <c r="M16" s="2044"/>
      <c r="N16" s="2045"/>
    </row>
    <row r="17" spans="2:14" ht="15" hidden="1" customHeight="1">
      <c r="B17" s="2037">
        <v>6</v>
      </c>
      <c r="C17" s="2038" t="s">
        <v>1413</v>
      </c>
      <c r="D17" s="2046"/>
      <c r="E17" s="2047">
        <v>24.77</v>
      </c>
      <c r="F17" s="2048"/>
      <c r="G17" s="2248"/>
      <c r="H17" s="2041"/>
      <c r="I17" s="2254"/>
      <c r="J17" s="2042"/>
      <c r="K17" s="2043">
        <v>0</v>
      </c>
      <c r="L17" s="2043"/>
      <c r="M17" s="2044"/>
      <c r="N17" s="2045"/>
    </row>
    <row r="18" spans="2:14" ht="15.75" hidden="1" customHeight="1" thickBot="1">
      <c r="B18" s="1886">
        <v>7</v>
      </c>
      <c r="C18" s="1888" t="s">
        <v>1376</v>
      </c>
      <c r="D18" s="2049">
        <f>D15-D16</f>
        <v>91.819954349427661</v>
      </c>
      <c r="E18" s="2050">
        <f>E15-SUM(E16:E17)</f>
        <v>72.22</v>
      </c>
      <c r="F18" s="2051">
        <f>F15-F16</f>
        <v>74.278097399999979</v>
      </c>
      <c r="G18" s="2249"/>
      <c r="H18" s="2052"/>
      <c r="I18" s="2255"/>
      <c r="J18" s="2053">
        <f>J15-J16</f>
        <v>138.04330902677719</v>
      </c>
      <c r="K18" s="2051" t="e">
        <f>K15-SUM(K16:K17)</f>
        <v>#REF!</v>
      </c>
      <c r="L18" s="2054"/>
      <c r="M18" s="1888"/>
      <c r="N18" s="2055"/>
    </row>
    <row r="19" spans="2:14" ht="15" hidden="1" customHeight="1"/>
    <row r="20" spans="2:14" ht="15" hidden="1" customHeight="1">
      <c r="B20" s="1872" t="s">
        <v>1371</v>
      </c>
    </row>
    <row r="21" spans="2:14" ht="15.75" hidden="1" customHeight="1" thickBot="1">
      <c r="B21" s="1872" t="s">
        <v>1372</v>
      </c>
    </row>
    <row r="22" spans="2:14">
      <c r="B22" s="2550" t="s">
        <v>349</v>
      </c>
      <c r="C22" s="2552" t="s">
        <v>331</v>
      </c>
      <c r="D22" s="2552" t="s">
        <v>1751</v>
      </c>
      <c r="E22" s="2552"/>
      <c r="F22" s="2552" t="s">
        <v>2591</v>
      </c>
      <c r="G22" s="2552"/>
      <c r="H22" s="2552"/>
      <c r="I22" s="2469" t="s">
        <v>2592</v>
      </c>
      <c r="J22" s="2527"/>
    </row>
    <row r="23" spans="2:14">
      <c r="B23" s="2551"/>
      <c r="C23" s="2558"/>
      <c r="D23" s="2204" t="s">
        <v>1036</v>
      </c>
      <c r="E23" s="2204" t="s">
        <v>1037</v>
      </c>
      <c r="F23" s="2204" t="s">
        <v>1036</v>
      </c>
      <c r="G23" s="2229" t="s">
        <v>2772</v>
      </c>
      <c r="H23" s="2148" t="s">
        <v>2771</v>
      </c>
      <c r="I23" s="2256" t="s">
        <v>2773</v>
      </c>
      <c r="J23" s="2148" t="s">
        <v>2771</v>
      </c>
    </row>
    <row r="24" spans="2:14">
      <c r="B24" s="1877">
        <v>1</v>
      </c>
      <c r="C24" s="2033" t="s">
        <v>408</v>
      </c>
      <c r="D24" s="2056">
        <v>870.2</v>
      </c>
      <c r="E24" s="2056">
        <f ca="1">'F21 R'!E24</f>
        <v>0</v>
      </c>
      <c r="F24" s="2057">
        <v>1716.05</v>
      </c>
      <c r="G24" s="2057">
        <f>'F21'!G24</f>
        <v>1623.2292907000001</v>
      </c>
      <c r="H24" s="2057">
        <f>'F21 detailed R'!D44</f>
        <v>2427.2292907000001</v>
      </c>
      <c r="I24" s="2257">
        <f>'F21'!H24</f>
        <v>2537.6669520684854</v>
      </c>
      <c r="J24" s="2058">
        <f>'F21 detailed R'!D56</f>
        <v>3358.6669520684854</v>
      </c>
    </row>
    <row r="25" spans="2:14">
      <c r="B25" s="1877">
        <v>2</v>
      </c>
      <c r="C25" s="2033" t="s">
        <v>2233</v>
      </c>
      <c r="D25" s="2059">
        <v>398.55</v>
      </c>
      <c r="E25" s="2056">
        <f ca="1">'F21 R'!E25</f>
        <v>0</v>
      </c>
      <c r="F25" s="2057">
        <v>1100</v>
      </c>
      <c r="G25" s="2057">
        <f>'F21'!G25</f>
        <v>1060.1348156684851</v>
      </c>
      <c r="H25" s="2057">
        <f>'F21 detailed R'!F44</f>
        <v>1077.1348156684851</v>
      </c>
      <c r="I25" s="2257">
        <f>'F21'!H25</f>
        <v>981.58327759898464</v>
      </c>
      <c r="J25" s="2058">
        <f>'F21 detailed R'!F56</f>
        <v>981.58327759898464</v>
      </c>
    </row>
    <row r="26" spans="2:14">
      <c r="B26" s="1877">
        <v>3</v>
      </c>
      <c r="C26" s="2060" t="s">
        <v>2234</v>
      </c>
      <c r="D26" s="2061">
        <f>109.64</f>
        <v>109.64</v>
      </c>
      <c r="E26" s="2056">
        <f ca="1">'F21 R'!E26</f>
        <v>0</v>
      </c>
      <c r="F26" s="2057">
        <v>127.69</v>
      </c>
      <c r="G26" s="2057">
        <f>'F21'!G26</f>
        <v>145.69715429999999</v>
      </c>
      <c r="H26" s="2057">
        <f>'F21 detailed R'!G44</f>
        <v>145.69715429999999</v>
      </c>
      <c r="I26" s="2257">
        <f>'F21'!H26</f>
        <v>150.03738659999999</v>
      </c>
      <c r="J26" s="2058">
        <f>'F21 detailed R'!G56</f>
        <v>247.03738659999999</v>
      </c>
    </row>
    <row r="27" spans="2:14">
      <c r="B27" s="1877">
        <v>4</v>
      </c>
      <c r="C27" s="2033" t="s">
        <v>142</v>
      </c>
      <c r="D27" s="2062">
        <f>D24+D25-D26</f>
        <v>1159.1099999999999</v>
      </c>
      <c r="E27" s="2056">
        <f ca="1">'F21 R'!E27</f>
        <v>0</v>
      </c>
      <c r="F27" s="2057">
        <f>F24+F25-F26</f>
        <v>2688.36</v>
      </c>
      <c r="G27" s="2057">
        <f>'F21'!G27</f>
        <v>2537.6669520684854</v>
      </c>
      <c r="H27" s="2057">
        <f>H24+H25-H26</f>
        <v>3358.6669520684854</v>
      </c>
      <c r="I27" s="2257">
        <f>'F21'!H27</f>
        <v>3369.2128430674702</v>
      </c>
      <c r="J27" s="2058">
        <f>J24+J25-J26</f>
        <v>4093.2128430674702</v>
      </c>
    </row>
    <row r="28" spans="2:14">
      <c r="B28" s="1877">
        <v>5</v>
      </c>
      <c r="C28" s="2033" t="s">
        <v>1895</v>
      </c>
      <c r="D28" s="2061">
        <v>101.56</v>
      </c>
      <c r="E28" s="2056">
        <f ca="1">'F21 R'!E28</f>
        <v>0</v>
      </c>
      <c r="F28" s="2057">
        <f>275.27+3.96</f>
        <v>279.22999999999996</v>
      </c>
      <c r="G28" s="2057">
        <f>'F21'!G28</f>
        <v>241.363488430855</v>
      </c>
      <c r="H28" s="2057">
        <f>'F21 detailed R'!I44</f>
        <v>330.493488430855</v>
      </c>
      <c r="I28" s="2257">
        <f>'F21'!H28</f>
        <v>364.84157286474721</v>
      </c>
      <c r="J28" s="2058">
        <f>'F21 detailed R'!I56</f>
        <v>451.67157286474719</v>
      </c>
    </row>
    <row r="29" spans="2:14">
      <c r="B29" s="1877">
        <v>6</v>
      </c>
      <c r="C29" s="2033" t="s">
        <v>2235</v>
      </c>
      <c r="D29" s="2059">
        <v>4.57</v>
      </c>
      <c r="E29" s="2056">
        <f ca="1">'F21 R'!E29</f>
        <v>0</v>
      </c>
      <c r="F29" s="2057">
        <v>9.99</v>
      </c>
      <c r="G29" s="2057">
        <f>'F21'!G29</f>
        <v>40</v>
      </c>
      <c r="H29" s="2057">
        <f>[2]F8!L10</f>
        <v>40</v>
      </c>
      <c r="I29" s="2257">
        <f>'F21'!H29</f>
        <v>10</v>
      </c>
      <c r="J29" s="2058">
        <f>[2]F8!M10</f>
        <v>10</v>
      </c>
    </row>
    <row r="30" spans="2:14" ht="17.25" customHeight="1">
      <c r="B30" s="1877">
        <v>7</v>
      </c>
      <c r="C30" s="2060" t="s">
        <v>1413</v>
      </c>
      <c r="D30" s="2061">
        <f>E17</f>
        <v>24.77</v>
      </c>
      <c r="E30" s="2062">
        <f ca="1">'F21 R'!E30</f>
        <v>0</v>
      </c>
      <c r="F30" s="2057">
        <v>24.39</v>
      </c>
      <c r="G30" s="2057"/>
      <c r="H30" s="2057"/>
      <c r="I30" s="2257"/>
      <c r="J30" s="2058"/>
    </row>
    <row r="31" spans="2:14">
      <c r="B31" s="2063">
        <v>8</v>
      </c>
      <c r="C31" s="2064" t="s">
        <v>197</v>
      </c>
      <c r="D31" s="2065">
        <f>D28-D29-D30</f>
        <v>72.220000000000013</v>
      </c>
      <c r="E31" s="2066">
        <f ca="1">'F21 R'!E31</f>
        <v>0</v>
      </c>
      <c r="F31" s="2067">
        <f>F28-F29-F30</f>
        <v>244.84999999999997</v>
      </c>
      <c r="G31" s="2057">
        <f>'F21'!G31</f>
        <v>201.363488430855</v>
      </c>
      <c r="H31" s="2067">
        <f>H28-H29</f>
        <v>290.493488430855</v>
      </c>
      <c r="I31" s="2257">
        <f>'F21'!H31</f>
        <v>354.84157286474721</v>
      </c>
      <c r="J31" s="2068">
        <f>J28-J29</f>
        <v>441.67157286474719</v>
      </c>
    </row>
    <row r="32" spans="2:14">
      <c r="B32" s="2063">
        <v>9</v>
      </c>
      <c r="C32" s="2064" t="s">
        <v>2236</v>
      </c>
      <c r="D32" s="2069">
        <f>D28/((D24+D27)/2)</f>
        <v>0.1000931351050357</v>
      </c>
      <c r="E32" s="2069">
        <f ca="1">'F21 R'!E32</f>
        <v>0</v>
      </c>
      <c r="F32" s="2132">
        <f>F28/((F24+F27)/2)</f>
        <v>0.12679564345735295</v>
      </c>
      <c r="G32" s="2057">
        <f>'F21'!G32</f>
        <v>0.125</v>
      </c>
      <c r="H32" s="2133">
        <v>0.125</v>
      </c>
      <c r="I32" s="2257">
        <f>'F21'!H32</f>
        <v>0.125</v>
      </c>
      <c r="J32" s="2134">
        <f>H32</f>
        <v>0.125</v>
      </c>
    </row>
    <row r="33" spans="2:10">
      <c r="B33" s="2070">
        <v>10</v>
      </c>
      <c r="C33" s="2064" t="s">
        <v>2417</v>
      </c>
      <c r="D33" s="2071"/>
      <c r="E33" s="2066">
        <f>'F21 R'!E34</f>
        <v>0</v>
      </c>
      <c r="F33" s="2072"/>
      <c r="G33" s="2057">
        <f>'F21'!G33</f>
        <v>4</v>
      </c>
      <c r="H33" s="2067">
        <v>4</v>
      </c>
      <c r="I33" s="2257">
        <f>'F21'!H33</f>
        <v>4</v>
      </c>
      <c r="J33" s="2068">
        <v>4</v>
      </c>
    </row>
    <row r="34" spans="2:10" ht="16.5" thickBot="1">
      <c r="B34" s="2073">
        <v>11</v>
      </c>
      <c r="C34" s="2074" t="s">
        <v>1028</v>
      </c>
      <c r="D34" s="2075">
        <f>D31+D33</f>
        <v>72.220000000000013</v>
      </c>
      <c r="E34" s="2076">
        <f>'F21 R'!E35</f>
        <v>0</v>
      </c>
      <c r="F34" s="2077">
        <f>F31+F33</f>
        <v>244.84999999999997</v>
      </c>
      <c r="G34" s="2057">
        <f>'F21'!G34</f>
        <v>205.363488430855</v>
      </c>
      <c r="H34" s="2077">
        <f>H31+H33</f>
        <v>294.493488430855</v>
      </c>
      <c r="I34" s="2257">
        <f>'F21'!H34</f>
        <v>358.84157286474721</v>
      </c>
      <c r="J34" s="2078">
        <f>J31+J33</f>
        <v>445.67157286474719</v>
      </c>
    </row>
    <row r="35" spans="2:10">
      <c r="B35" s="2079"/>
    </row>
    <row r="36" spans="2:10">
      <c r="E36" s="2080"/>
    </row>
    <row r="38" spans="2:10">
      <c r="D38" s="2081"/>
      <c r="E38" s="2081"/>
      <c r="F38" s="2081"/>
      <c r="G38" s="2081"/>
      <c r="H38" s="2081"/>
      <c r="I38" s="2081"/>
      <c r="J38" s="2081"/>
    </row>
    <row r="40" spans="2:10">
      <c r="F40" s="2082"/>
      <c r="G40" s="2082"/>
    </row>
  </sheetData>
  <sheetProtection selectLockedCells="1" selectUnlockedCells="1"/>
  <mergeCells count="13">
    <mergeCell ref="D22:E22"/>
    <mergeCell ref="C22:C23"/>
    <mergeCell ref="B2:J2"/>
    <mergeCell ref="B3:J3"/>
    <mergeCell ref="B5:J5"/>
    <mergeCell ref="B6:J6"/>
    <mergeCell ref="B22:B23"/>
    <mergeCell ref="F22:H22"/>
    <mergeCell ref="B9:B10"/>
    <mergeCell ref="C9:C10"/>
    <mergeCell ref="D9:H9"/>
    <mergeCell ref="J9:M9"/>
    <mergeCell ref="I22:J22"/>
  </mergeCells>
  <printOptions horizontalCentered="1"/>
  <pageMargins left="0.7" right="0.7" top="0.75" bottom="0.75" header="0.3" footer="0.3"/>
  <pageSetup paperSize="9" scale="84" firstPageNumber="15" orientation="landscape" useFirstPageNumber="1" r:id="rId1"/>
  <headerFooter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4"/>
  <sheetViews>
    <sheetView view="pageBreakPreview" topLeftCell="A3" zoomScale="60" zoomScaleNormal="69" workbookViewId="0">
      <selection activeCell="C30" sqref="C30:I30"/>
    </sheetView>
  </sheetViews>
  <sheetFormatPr defaultRowHeight="15.75"/>
  <cols>
    <col min="1" max="1" width="9.140625" style="1"/>
    <col min="2" max="2" width="15.42578125" style="1" customWidth="1"/>
    <col min="3" max="3" width="29.7109375" style="1" customWidth="1"/>
    <col min="4" max="4" width="15.28515625" style="1" customWidth="1"/>
    <col min="5" max="5" width="12" style="1" bestFit="1" customWidth="1"/>
    <col min="6" max="6" width="13.140625" style="1" customWidth="1"/>
    <col min="7" max="7" width="15.42578125" style="1" customWidth="1"/>
    <col min="8" max="8" width="13" style="1" bestFit="1" customWidth="1"/>
    <col min="9" max="9" width="14" style="1" customWidth="1"/>
    <col min="10" max="10" width="11.7109375" style="1" customWidth="1"/>
    <col min="11" max="11" width="12.5703125" style="1" bestFit="1" customWidth="1"/>
    <col min="12" max="12" width="9.140625" style="1"/>
    <col min="13" max="13" width="11.85546875" style="1" bestFit="1" customWidth="1"/>
    <col min="14" max="15" width="0" style="1" hidden="1" customWidth="1"/>
    <col min="16" max="16" width="10.7109375" style="1" customWidth="1"/>
    <col min="17" max="257" width="9.140625" style="1"/>
    <col min="258" max="258" width="7.140625" style="1" bestFit="1" customWidth="1"/>
    <col min="259" max="259" width="18.42578125" style="1" bestFit="1" customWidth="1"/>
    <col min="260" max="260" width="15.28515625" style="1" customWidth="1"/>
    <col min="261" max="261" width="12" style="1" bestFit="1" customWidth="1"/>
    <col min="262" max="262" width="13.140625" style="1" customWidth="1"/>
    <col min="263" max="263" width="14" style="1" customWidth="1"/>
    <col min="264" max="264" width="12.140625" style="1" customWidth="1"/>
    <col min="265" max="265" width="14" style="1" customWidth="1"/>
    <col min="266" max="266" width="11.7109375" style="1" customWidth="1"/>
    <col min="267" max="269" width="9.140625" style="1"/>
    <col min="270" max="271" width="0" style="1" hidden="1" customWidth="1"/>
    <col min="272" max="513" width="9.140625" style="1"/>
    <col min="514" max="514" width="7.140625" style="1" bestFit="1" customWidth="1"/>
    <col min="515" max="515" width="18.42578125" style="1" bestFit="1" customWidth="1"/>
    <col min="516" max="516" width="15.28515625" style="1" customWidth="1"/>
    <col min="517" max="517" width="12" style="1" bestFit="1" customWidth="1"/>
    <col min="518" max="518" width="13.140625" style="1" customWidth="1"/>
    <col min="519" max="519" width="14" style="1" customWidth="1"/>
    <col min="520" max="520" width="12.140625" style="1" customWidth="1"/>
    <col min="521" max="521" width="14" style="1" customWidth="1"/>
    <col min="522" max="522" width="11.7109375" style="1" customWidth="1"/>
    <col min="523" max="525" width="9.140625" style="1"/>
    <col min="526" max="527" width="0" style="1" hidden="1" customWidth="1"/>
    <col min="528" max="769" width="9.140625" style="1"/>
    <col min="770" max="770" width="7.140625" style="1" bestFit="1" customWidth="1"/>
    <col min="771" max="771" width="18.42578125" style="1" bestFit="1" customWidth="1"/>
    <col min="772" max="772" width="15.28515625" style="1" customWidth="1"/>
    <col min="773" max="773" width="12" style="1" bestFit="1" customWidth="1"/>
    <col min="774" max="774" width="13.140625" style="1" customWidth="1"/>
    <col min="775" max="775" width="14" style="1" customWidth="1"/>
    <col min="776" max="776" width="12.140625" style="1" customWidth="1"/>
    <col min="777" max="777" width="14" style="1" customWidth="1"/>
    <col min="778" max="778" width="11.7109375" style="1" customWidth="1"/>
    <col min="779" max="781" width="9.140625" style="1"/>
    <col min="782" max="783" width="0" style="1" hidden="1" customWidth="1"/>
    <col min="784" max="1025" width="9.140625" style="1"/>
    <col min="1026" max="1026" width="7.140625" style="1" bestFit="1" customWidth="1"/>
    <col min="1027" max="1027" width="18.42578125" style="1" bestFit="1" customWidth="1"/>
    <col min="1028" max="1028" width="15.28515625" style="1" customWidth="1"/>
    <col min="1029" max="1029" width="12" style="1" bestFit="1" customWidth="1"/>
    <col min="1030" max="1030" width="13.140625" style="1" customWidth="1"/>
    <col min="1031" max="1031" width="14" style="1" customWidth="1"/>
    <col min="1032" max="1032" width="12.140625" style="1" customWidth="1"/>
    <col min="1033" max="1033" width="14" style="1" customWidth="1"/>
    <col min="1034" max="1034" width="11.7109375" style="1" customWidth="1"/>
    <col min="1035" max="1037" width="9.140625" style="1"/>
    <col min="1038" max="1039" width="0" style="1" hidden="1" customWidth="1"/>
    <col min="1040" max="1281" width="9.140625" style="1"/>
    <col min="1282" max="1282" width="7.140625" style="1" bestFit="1" customWidth="1"/>
    <col min="1283" max="1283" width="18.42578125" style="1" bestFit="1" customWidth="1"/>
    <col min="1284" max="1284" width="15.28515625" style="1" customWidth="1"/>
    <col min="1285" max="1285" width="12" style="1" bestFit="1" customWidth="1"/>
    <col min="1286" max="1286" width="13.140625" style="1" customWidth="1"/>
    <col min="1287" max="1287" width="14" style="1" customWidth="1"/>
    <col min="1288" max="1288" width="12.140625" style="1" customWidth="1"/>
    <col min="1289" max="1289" width="14" style="1" customWidth="1"/>
    <col min="1290" max="1290" width="11.7109375" style="1" customWidth="1"/>
    <col min="1291" max="1293" width="9.140625" style="1"/>
    <col min="1294" max="1295" width="0" style="1" hidden="1" customWidth="1"/>
    <col min="1296" max="1537" width="9.140625" style="1"/>
    <col min="1538" max="1538" width="7.140625" style="1" bestFit="1" customWidth="1"/>
    <col min="1539" max="1539" width="18.42578125" style="1" bestFit="1" customWidth="1"/>
    <col min="1540" max="1540" width="15.28515625" style="1" customWidth="1"/>
    <col min="1541" max="1541" width="12" style="1" bestFit="1" customWidth="1"/>
    <col min="1542" max="1542" width="13.140625" style="1" customWidth="1"/>
    <col min="1543" max="1543" width="14" style="1" customWidth="1"/>
    <col min="1544" max="1544" width="12.140625" style="1" customWidth="1"/>
    <col min="1545" max="1545" width="14" style="1" customWidth="1"/>
    <col min="1546" max="1546" width="11.7109375" style="1" customWidth="1"/>
    <col min="1547" max="1549" width="9.140625" style="1"/>
    <col min="1550" max="1551" width="0" style="1" hidden="1" customWidth="1"/>
    <col min="1552" max="1793" width="9.140625" style="1"/>
    <col min="1794" max="1794" width="7.140625" style="1" bestFit="1" customWidth="1"/>
    <col min="1795" max="1795" width="18.42578125" style="1" bestFit="1" customWidth="1"/>
    <col min="1796" max="1796" width="15.28515625" style="1" customWidth="1"/>
    <col min="1797" max="1797" width="12" style="1" bestFit="1" customWidth="1"/>
    <col min="1798" max="1798" width="13.140625" style="1" customWidth="1"/>
    <col min="1799" max="1799" width="14" style="1" customWidth="1"/>
    <col min="1800" max="1800" width="12.140625" style="1" customWidth="1"/>
    <col min="1801" max="1801" width="14" style="1" customWidth="1"/>
    <col min="1802" max="1802" width="11.7109375" style="1" customWidth="1"/>
    <col min="1803" max="1805" width="9.140625" style="1"/>
    <col min="1806" max="1807" width="0" style="1" hidden="1" customWidth="1"/>
    <col min="1808" max="2049" width="9.140625" style="1"/>
    <col min="2050" max="2050" width="7.140625" style="1" bestFit="1" customWidth="1"/>
    <col min="2051" max="2051" width="18.42578125" style="1" bestFit="1" customWidth="1"/>
    <col min="2052" max="2052" width="15.28515625" style="1" customWidth="1"/>
    <col min="2053" max="2053" width="12" style="1" bestFit="1" customWidth="1"/>
    <col min="2054" max="2054" width="13.140625" style="1" customWidth="1"/>
    <col min="2055" max="2055" width="14" style="1" customWidth="1"/>
    <col min="2056" max="2056" width="12.140625" style="1" customWidth="1"/>
    <col min="2057" max="2057" width="14" style="1" customWidth="1"/>
    <col min="2058" max="2058" width="11.7109375" style="1" customWidth="1"/>
    <col min="2059" max="2061" width="9.140625" style="1"/>
    <col min="2062" max="2063" width="0" style="1" hidden="1" customWidth="1"/>
    <col min="2064" max="2305" width="9.140625" style="1"/>
    <col min="2306" max="2306" width="7.140625" style="1" bestFit="1" customWidth="1"/>
    <col min="2307" max="2307" width="18.42578125" style="1" bestFit="1" customWidth="1"/>
    <col min="2308" max="2308" width="15.28515625" style="1" customWidth="1"/>
    <col min="2309" max="2309" width="12" style="1" bestFit="1" customWidth="1"/>
    <col min="2310" max="2310" width="13.140625" style="1" customWidth="1"/>
    <col min="2311" max="2311" width="14" style="1" customWidth="1"/>
    <col min="2312" max="2312" width="12.140625" style="1" customWidth="1"/>
    <col min="2313" max="2313" width="14" style="1" customWidth="1"/>
    <col min="2314" max="2314" width="11.7109375" style="1" customWidth="1"/>
    <col min="2315" max="2317" width="9.140625" style="1"/>
    <col min="2318" max="2319" width="0" style="1" hidden="1" customWidth="1"/>
    <col min="2320" max="2561" width="9.140625" style="1"/>
    <col min="2562" max="2562" width="7.140625" style="1" bestFit="1" customWidth="1"/>
    <col min="2563" max="2563" width="18.42578125" style="1" bestFit="1" customWidth="1"/>
    <col min="2564" max="2564" width="15.28515625" style="1" customWidth="1"/>
    <col min="2565" max="2565" width="12" style="1" bestFit="1" customWidth="1"/>
    <col min="2566" max="2566" width="13.140625" style="1" customWidth="1"/>
    <col min="2567" max="2567" width="14" style="1" customWidth="1"/>
    <col min="2568" max="2568" width="12.140625" style="1" customWidth="1"/>
    <col min="2569" max="2569" width="14" style="1" customWidth="1"/>
    <col min="2570" max="2570" width="11.7109375" style="1" customWidth="1"/>
    <col min="2571" max="2573" width="9.140625" style="1"/>
    <col min="2574" max="2575" width="0" style="1" hidden="1" customWidth="1"/>
    <col min="2576" max="2817" width="9.140625" style="1"/>
    <col min="2818" max="2818" width="7.140625" style="1" bestFit="1" customWidth="1"/>
    <col min="2819" max="2819" width="18.42578125" style="1" bestFit="1" customWidth="1"/>
    <col min="2820" max="2820" width="15.28515625" style="1" customWidth="1"/>
    <col min="2821" max="2821" width="12" style="1" bestFit="1" customWidth="1"/>
    <col min="2822" max="2822" width="13.140625" style="1" customWidth="1"/>
    <col min="2823" max="2823" width="14" style="1" customWidth="1"/>
    <col min="2824" max="2824" width="12.140625" style="1" customWidth="1"/>
    <col min="2825" max="2825" width="14" style="1" customWidth="1"/>
    <col min="2826" max="2826" width="11.7109375" style="1" customWidth="1"/>
    <col min="2827" max="2829" width="9.140625" style="1"/>
    <col min="2830" max="2831" width="0" style="1" hidden="1" customWidth="1"/>
    <col min="2832" max="3073" width="9.140625" style="1"/>
    <col min="3074" max="3074" width="7.140625" style="1" bestFit="1" customWidth="1"/>
    <col min="3075" max="3075" width="18.42578125" style="1" bestFit="1" customWidth="1"/>
    <col min="3076" max="3076" width="15.28515625" style="1" customWidth="1"/>
    <col min="3077" max="3077" width="12" style="1" bestFit="1" customWidth="1"/>
    <col min="3078" max="3078" width="13.140625" style="1" customWidth="1"/>
    <col min="3079" max="3079" width="14" style="1" customWidth="1"/>
    <col min="3080" max="3080" width="12.140625" style="1" customWidth="1"/>
    <col min="3081" max="3081" width="14" style="1" customWidth="1"/>
    <col min="3082" max="3082" width="11.7109375" style="1" customWidth="1"/>
    <col min="3083" max="3085" width="9.140625" style="1"/>
    <col min="3086" max="3087" width="0" style="1" hidden="1" customWidth="1"/>
    <col min="3088" max="3329" width="9.140625" style="1"/>
    <col min="3330" max="3330" width="7.140625" style="1" bestFit="1" customWidth="1"/>
    <col min="3331" max="3331" width="18.42578125" style="1" bestFit="1" customWidth="1"/>
    <col min="3332" max="3332" width="15.28515625" style="1" customWidth="1"/>
    <col min="3333" max="3333" width="12" style="1" bestFit="1" customWidth="1"/>
    <col min="3334" max="3334" width="13.140625" style="1" customWidth="1"/>
    <col min="3335" max="3335" width="14" style="1" customWidth="1"/>
    <col min="3336" max="3336" width="12.140625" style="1" customWidth="1"/>
    <col min="3337" max="3337" width="14" style="1" customWidth="1"/>
    <col min="3338" max="3338" width="11.7109375" style="1" customWidth="1"/>
    <col min="3339" max="3341" width="9.140625" style="1"/>
    <col min="3342" max="3343" width="0" style="1" hidden="1" customWidth="1"/>
    <col min="3344" max="3585" width="9.140625" style="1"/>
    <col min="3586" max="3586" width="7.140625" style="1" bestFit="1" customWidth="1"/>
    <col min="3587" max="3587" width="18.42578125" style="1" bestFit="1" customWidth="1"/>
    <col min="3588" max="3588" width="15.28515625" style="1" customWidth="1"/>
    <col min="3589" max="3589" width="12" style="1" bestFit="1" customWidth="1"/>
    <col min="3590" max="3590" width="13.140625" style="1" customWidth="1"/>
    <col min="3591" max="3591" width="14" style="1" customWidth="1"/>
    <col min="3592" max="3592" width="12.140625" style="1" customWidth="1"/>
    <col min="3593" max="3593" width="14" style="1" customWidth="1"/>
    <col min="3594" max="3594" width="11.7109375" style="1" customWidth="1"/>
    <col min="3595" max="3597" width="9.140625" style="1"/>
    <col min="3598" max="3599" width="0" style="1" hidden="1" customWidth="1"/>
    <col min="3600" max="3841" width="9.140625" style="1"/>
    <col min="3842" max="3842" width="7.140625" style="1" bestFit="1" customWidth="1"/>
    <col min="3843" max="3843" width="18.42578125" style="1" bestFit="1" customWidth="1"/>
    <col min="3844" max="3844" width="15.28515625" style="1" customWidth="1"/>
    <col min="3845" max="3845" width="12" style="1" bestFit="1" customWidth="1"/>
    <col min="3846" max="3846" width="13.140625" style="1" customWidth="1"/>
    <col min="3847" max="3847" width="14" style="1" customWidth="1"/>
    <col min="3848" max="3848" width="12.140625" style="1" customWidth="1"/>
    <col min="3849" max="3849" width="14" style="1" customWidth="1"/>
    <col min="3850" max="3850" width="11.7109375" style="1" customWidth="1"/>
    <col min="3851" max="3853" width="9.140625" style="1"/>
    <col min="3854" max="3855" width="0" style="1" hidden="1" customWidth="1"/>
    <col min="3856" max="4097" width="9.140625" style="1"/>
    <col min="4098" max="4098" width="7.140625" style="1" bestFit="1" customWidth="1"/>
    <col min="4099" max="4099" width="18.42578125" style="1" bestFit="1" customWidth="1"/>
    <col min="4100" max="4100" width="15.28515625" style="1" customWidth="1"/>
    <col min="4101" max="4101" width="12" style="1" bestFit="1" customWidth="1"/>
    <col min="4102" max="4102" width="13.140625" style="1" customWidth="1"/>
    <col min="4103" max="4103" width="14" style="1" customWidth="1"/>
    <col min="4104" max="4104" width="12.140625" style="1" customWidth="1"/>
    <col min="4105" max="4105" width="14" style="1" customWidth="1"/>
    <col min="4106" max="4106" width="11.7109375" style="1" customWidth="1"/>
    <col min="4107" max="4109" width="9.140625" style="1"/>
    <col min="4110" max="4111" width="0" style="1" hidden="1" customWidth="1"/>
    <col min="4112" max="4353" width="9.140625" style="1"/>
    <col min="4354" max="4354" width="7.140625" style="1" bestFit="1" customWidth="1"/>
    <col min="4355" max="4355" width="18.42578125" style="1" bestFit="1" customWidth="1"/>
    <col min="4356" max="4356" width="15.28515625" style="1" customWidth="1"/>
    <col min="4357" max="4357" width="12" style="1" bestFit="1" customWidth="1"/>
    <col min="4358" max="4358" width="13.140625" style="1" customWidth="1"/>
    <col min="4359" max="4359" width="14" style="1" customWidth="1"/>
    <col min="4360" max="4360" width="12.140625" style="1" customWidth="1"/>
    <col min="4361" max="4361" width="14" style="1" customWidth="1"/>
    <col min="4362" max="4362" width="11.7109375" style="1" customWidth="1"/>
    <col min="4363" max="4365" width="9.140625" style="1"/>
    <col min="4366" max="4367" width="0" style="1" hidden="1" customWidth="1"/>
    <col min="4368" max="4609" width="9.140625" style="1"/>
    <col min="4610" max="4610" width="7.140625" style="1" bestFit="1" customWidth="1"/>
    <col min="4611" max="4611" width="18.42578125" style="1" bestFit="1" customWidth="1"/>
    <col min="4612" max="4612" width="15.28515625" style="1" customWidth="1"/>
    <col min="4613" max="4613" width="12" style="1" bestFit="1" customWidth="1"/>
    <col min="4614" max="4614" width="13.140625" style="1" customWidth="1"/>
    <col min="4615" max="4615" width="14" style="1" customWidth="1"/>
    <col min="4616" max="4616" width="12.140625" style="1" customWidth="1"/>
    <col min="4617" max="4617" width="14" style="1" customWidth="1"/>
    <col min="4618" max="4618" width="11.7109375" style="1" customWidth="1"/>
    <col min="4619" max="4621" width="9.140625" style="1"/>
    <col min="4622" max="4623" width="0" style="1" hidden="1" customWidth="1"/>
    <col min="4624" max="4865" width="9.140625" style="1"/>
    <col min="4866" max="4866" width="7.140625" style="1" bestFit="1" customWidth="1"/>
    <col min="4867" max="4867" width="18.42578125" style="1" bestFit="1" customWidth="1"/>
    <col min="4868" max="4868" width="15.28515625" style="1" customWidth="1"/>
    <col min="4869" max="4869" width="12" style="1" bestFit="1" customWidth="1"/>
    <col min="4870" max="4870" width="13.140625" style="1" customWidth="1"/>
    <col min="4871" max="4871" width="14" style="1" customWidth="1"/>
    <col min="4872" max="4872" width="12.140625" style="1" customWidth="1"/>
    <col min="4873" max="4873" width="14" style="1" customWidth="1"/>
    <col min="4874" max="4874" width="11.7109375" style="1" customWidth="1"/>
    <col min="4875" max="4877" width="9.140625" style="1"/>
    <col min="4878" max="4879" width="0" style="1" hidden="1" customWidth="1"/>
    <col min="4880" max="5121" width="9.140625" style="1"/>
    <col min="5122" max="5122" width="7.140625" style="1" bestFit="1" customWidth="1"/>
    <col min="5123" max="5123" width="18.42578125" style="1" bestFit="1" customWidth="1"/>
    <col min="5124" max="5124" width="15.28515625" style="1" customWidth="1"/>
    <col min="5125" max="5125" width="12" style="1" bestFit="1" customWidth="1"/>
    <col min="5126" max="5126" width="13.140625" style="1" customWidth="1"/>
    <col min="5127" max="5127" width="14" style="1" customWidth="1"/>
    <col min="5128" max="5128" width="12.140625" style="1" customWidth="1"/>
    <col min="5129" max="5129" width="14" style="1" customWidth="1"/>
    <col min="5130" max="5130" width="11.7109375" style="1" customWidth="1"/>
    <col min="5131" max="5133" width="9.140625" style="1"/>
    <col min="5134" max="5135" width="0" style="1" hidden="1" customWidth="1"/>
    <col min="5136" max="5377" width="9.140625" style="1"/>
    <col min="5378" max="5378" width="7.140625" style="1" bestFit="1" customWidth="1"/>
    <col min="5379" max="5379" width="18.42578125" style="1" bestFit="1" customWidth="1"/>
    <col min="5380" max="5380" width="15.28515625" style="1" customWidth="1"/>
    <col min="5381" max="5381" width="12" style="1" bestFit="1" customWidth="1"/>
    <col min="5382" max="5382" width="13.140625" style="1" customWidth="1"/>
    <col min="5383" max="5383" width="14" style="1" customWidth="1"/>
    <col min="5384" max="5384" width="12.140625" style="1" customWidth="1"/>
    <col min="5385" max="5385" width="14" style="1" customWidth="1"/>
    <col min="5386" max="5386" width="11.7109375" style="1" customWidth="1"/>
    <col min="5387" max="5389" width="9.140625" style="1"/>
    <col min="5390" max="5391" width="0" style="1" hidden="1" customWidth="1"/>
    <col min="5392" max="5633" width="9.140625" style="1"/>
    <col min="5634" max="5634" width="7.140625" style="1" bestFit="1" customWidth="1"/>
    <col min="5635" max="5635" width="18.42578125" style="1" bestFit="1" customWidth="1"/>
    <col min="5636" max="5636" width="15.28515625" style="1" customWidth="1"/>
    <col min="5637" max="5637" width="12" style="1" bestFit="1" customWidth="1"/>
    <col min="5638" max="5638" width="13.140625" style="1" customWidth="1"/>
    <col min="5639" max="5639" width="14" style="1" customWidth="1"/>
    <col min="5640" max="5640" width="12.140625" style="1" customWidth="1"/>
    <col min="5641" max="5641" width="14" style="1" customWidth="1"/>
    <col min="5642" max="5642" width="11.7109375" style="1" customWidth="1"/>
    <col min="5643" max="5645" width="9.140625" style="1"/>
    <col min="5646" max="5647" width="0" style="1" hidden="1" customWidth="1"/>
    <col min="5648" max="5889" width="9.140625" style="1"/>
    <col min="5890" max="5890" width="7.140625" style="1" bestFit="1" customWidth="1"/>
    <col min="5891" max="5891" width="18.42578125" style="1" bestFit="1" customWidth="1"/>
    <col min="5892" max="5892" width="15.28515625" style="1" customWidth="1"/>
    <col min="5893" max="5893" width="12" style="1" bestFit="1" customWidth="1"/>
    <col min="5894" max="5894" width="13.140625" style="1" customWidth="1"/>
    <col min="5895" max="5895" width="14" style="1" customWidth="1"/>
    <col min="5896" max="5896" width="12.140625" style="1" customWidth="1"/>
    <col min="5897" max="5897" width="14" style="1" customWidth="1"/>
    <col min="5898" max="5898" width="11.7109375" style="1" customWidth="1"/>
    <col min="5899" max="5901" width="9.140625" style="1"/>
    <col min="5902" max="5903" width="0" style="1" hidden="1" customWidth="1"/>
    <col min="5904" max="6145" width="9.140625" style="1"/>
    <col min="6146" max="6146" width="7.140625" style="1" bestFit="1" customWidth="1"/>
    <col min="6147" max="6147" width="18.42578125" style="1" bestFit="1" customWidth="1"/>
    <col min="6148" max="6148" width="15.28515625" style="1" customWidth="1"/>
    <col min="6149" max="6149" width="12" style="1" bestFit="1" customWidth="1"/>
    <col min="6150" max="6150" width="13.140625" style="1" customWidth="1"/>
    <col min="6151" max="6151" width="14" style="1" customWidth="1"/>
    <col min="6152" max="6152" width="12.140625" style="1" customWidth="1"/>
    <col min="6153" max="6153" width="14" style="1" customWidth="1"/>
    <col min="6154" max="6154" width="11.7109375" style="1" customWidth="1"/>
    <col min="6155" max="6157" width="9.140625" style="1"/>
    <col min="6158" max="6159" width="0" style="1" hidden="1" customWidth="1"/>
    <col min="6160" max="6401" width="9.140625" style="1"/>
    <col min="6402" max="6402" width="7.140625" style="1" bestFit="1" customWidth="1"/>
    <col min="6403" max="6403" width="18.42578125" style="1" bestFit="1" customWidth="1"/>
    <col min="6404" max="6404" width="15.28515625" style="1" customWidth="1"/>
    <col min="6405" max="6405" width="12" style="1" bestFit="1" customWidth="1"/>
    <col min="6406" max="6406" width="13.140625" style="1" customWidth="1"/>
    <col min="6407" max="6407" width="14" style="1" customWidth="1"/>
    <col min="6408" max="6408" width="12.140625" style="1" customWidth="1"/>
    <col min="6409" max="6409" width="14" style="1" customWidth="1"/>
    <col min="6410" max="6410" width="11.7109375" style="1" customWidth="1"/>
    <col min="6411" max="6413" width="9.140625" style="1"/>
    <col min="6414" max="6415" width="0" style="1" hidden="1" customWidth="1"/>
    <col min="6416" max="6657" width="9.140625" style="1"/>
    <col min="6658" max="6658" width="7.140625" style="1" bestFit="1" customWidth="1"/>
    <col min="6659" max="6659" width="18.42578125" style="1" bestFit="1" customWidth="1"/>
    <col min="6660" max="6660" width="15.28515625" style="1" customWidth="1"/>
    <col min="6661" max="6661" width="12" style="1" bestFit="1" customWidth="1"/>
    <col min="6662" max="6662" width="13.140625" style="1" customWidth="1"/>
    <col min="6663" max="6663" width="14" style="1" customWidth="1"/>
    <col min="6664" max="6664" width="12.140625" style="1" customWidth="1"/>
    <col min="6665" max="6665" width="14" style="1" customWidth="1"/>
    <col min="6666" max="6666" width="11.7109375" style="1" customWidth="1"/>
    <col min="6667" max="6669" width="9.140625" style="1"/>
    <col min="6670" max="6671" width="0" style="1" hidden="1" customWidth="1"/>
    <col min="6672" max="6913" width="9.140625" style="1"/>
    <col min="6914" max="6914" width="7.140625" style="1" bestFit="1" customWidth="1"/>
    <col min="6915" max="6915" width="18.42578125" style="1" bestFit="1" customWidth="1"/>
    <col min="6916" max="6916" width="15.28515625" style="1" customWidth="1"/>
    <col min="6917" max="6917" width="12" style="1" bestFit="1" customWidth="1"/>
    <col min="6918" max="6918" width="13.140625" style="1" customWidth="1"/>
    <col min="6919" max="6919" width="14" style="1" customWidth="1"/>
    <col min="6920" max="6920" width="12.140625" style="1" customWidth="1"/>
    <col min="6921" max="6921" width="14" style="1" customWidth="1"/>
    <col min="6922" max="6922" width="11.7109375" style="1" customWidth="1"/>
    <col min="6923" max="6925" width="9.140625" style="1"/>
    <col min="6926" max="6927" width="0" style="1" hidden="1" customWidth="1"/>
    <col min="6928" max="7169" width="9.140625" style="1"/>
    <col min="7170" max="7170" width="7.140625" style="1" bestFit="1" customWidth="1"/>
    <col min="7171" max="7171" width="18.42578125" style="1" bestFit="1" customWidth="1"/>
    <col min="7172" max="7172" width="15.28515625" style="1" customWidth="1"/>
    <col min="7173" max="7173" width="12" style="1" bestFit="1" customWidth="1"/>
    <col min="7174" max="7174" width="13.140625" style="1" customWidth="1"/>
    <col min="7175" max="7175" width="14" style="1" customWidth="1"/>
    <col min="7176" max="7176" width="12.140625" style="1" customWidth="1"/>
    <col min="7177" max="7177" width="14" style="1" customWidth="1"/>
    <col min="7178" max="7178" width="11.7109375" style="1" customWidth="1"/>
    <col min="7179" max="7181" width="9.140625" style="1"/>
    <col min="7182" max="7183" width="0" style="1" hidden="1" customWidth="1"/>
    <col min="7184" max="7425" width="9.140625" style="1"/>
    <col min="7426" max="7426" width="7.140625" style="1" bestFit="1" customWidth="1"/>
    <col min="7427" max="7427" width="18.42578125" style="1" bestFit="1" customWidth="1"/>
    <col min="7428" max="7428" width="15.28515625" style="1" customWidth="1"/>
    <col min="7429" max="7429" width="12" style="1" bestFit="1" customWidth="1"/>
    <col min="7430" max="7430" width="13.140625" style="1" customWidth="1"/>
    <col min="7431" max="7431" width="14" style="1" customWidth="1"/>
    <col min="7432" max="7432" width="12.140625" style="1" customWidth="1"/>
    <col min="7433" max="7433" width="14" style="1" customWidth="1"/>
    <col min="7434" max="7434" width="11.7109375" style="1" customWidth="1"/>
    <col min="7435" max="7437" width="9.140625" style="1"/>
    <col min="7438" max="7439" width="0" style="1" hidden="1" customWidth="1"/>
    <col min="7440" max="7681" width="9.140625" style="1"/>
    <col min="7682" max="7682" width="7.140625" style="1" bestFit="1" customWidth="1"/>
    <col min="7683" max="7683" width="18.42578125" style="1" bestFit="1" customWidth="1"/>
    <col min="7684" max="7684" width="15.28515625" style="1" customWidth="1"/>
    <col min="7685" max="7685" width="12" style="1" bestFit="1" customWidth="1"/>
    <col min="7686" max="7686" width="13.140625" style="1" customWidth="1"/>
    <col min="7687" max="7687" width="14" style="1" customWidth="1"/>
    <col min="7688" max="7688" width="12.140625" style="1" customWidth="1"/>
    <col min="7689" max="7689" width="14" style="1" customWidth="1"/>
    <col min="7690" max="7690" width="11.7109375" style="1" customWidth="1"/>
    <col min="7691" max="7693" width="9.140625" style="1"/>
    <col min="7694" max="7695" width="0" style="1" hidden="1" customWidth="1"/>
    <col min="7696" max="7937" width="9.140625" style="1"/>
    <col min="7938" max="7938" width="7.140625" style="1" bestFit="1" customWidth="1"/>
    <col min="7939" max="7939" width="18.42578125" style="1" bestFit="1" customWidth="1"/>
    <col min="7940" max="7940" width="15.28515625" style="1" customWidth="1"/>
    <col min="7941" max="7941" width="12" style="1" bestFit="1" customWidth="1"/>
    <col min="7942" max="7942" width="13.140625" style="1" customWidth="1"/>
    <col min="7943" max="7943" width="14" style="1" customWidth="1"/>
    <col min="7944" max="7944" width="12.140625" style="1" customWidth="1"/>
    <col min="7945" max="7945" width="14" style="1" customWidth="1"/>
    <col min="7946" max="7946" width="11.7109375" style="1" customWidth="1"/>
    <col min="7947" max="7949" width="9.140625" style="1"/>
    <col min="7950" max="7951" width="0" style="1" hidden="1" customWidth="1"/>
    <col min="7952" max="8193" width="9.140625" style="1"/>
    <col min="8194" max="8194" width="7.140625" style="1" bestFit="1" customWidth="1"/>
    <col min="8195" max="8195" width="18.42578125" style="1" bestFit="1" customWidth="1"/>
    <col min="8196" max="8196" width="15.28515625" style="1" customWidth="1"/>
    <col min="8197" max="8197" width="12" style="1" bestFit="1" customWidth="1"/>
    <col min="8198" max="8198" width="13.140625" style="1" customWidth="1"/>
    <col min="8199" max="8199" width="14" style="1" customWidth="1"/>
    <col min="8200" max="8200" width="12.140625" style="1" customWidth="1"/>
    <col min="8201" max="8201" width="14" style="1" customWidth="1"/>
    <col min="8202" max="8202" width="11.7109375" style="1" customWidth="1"/>
    <col min="8203" max="8205" width="9.140625" style="1"/>
    <col min="8206" max="8207" width="0" style="1" hidden="1" customWidth="1"/>
    <col min="8208" max="8449" width="9.140625" style="1"/>
    <col min="8450" max="8450" width="7.140625" style="1" bestFit="1" customWidth="1"/>
    <col min="8451" max="8451" width="18.42578125" style="1" bestFit="1" customWidth="1"/>
    <col min="8452" max="8452" width="15.28515625" style="1" customWidth="1"/>
    <col min="8453" max="8453" width="12" style="1" bestFit="1" customWidth="1"/>
    <col min="8454" max="8454" width="13.140625" style="1" customWidth="1"/>
    <col min="8455" max="8455" width="14" style="1" customWidth="1"/>
    <col min="8456" max="8456" width="12.140625" style="1" customWidth="1"/>
    <col min="8457" max="8457" width="14" style="1" customWidth="1"/>
    <col min="8458" max="8458" width="11.7109375" style="1" customWidth="1"/>
    <col min="8459" max="8461" width="9.140625" style="1"/>
    <col min="8462" max="8463" width="0" style="1" hidden="1" customWidth="1"/>
    <col min="8464" max="8705" width="9.140625" style="1"/>
    <col min="8706" max="8706" width="7.140625" style="1" bestFit="1" customWidth="1"/>
    <col min="8707" max="8707" width="18.42578125" style="1" bestFit="1" customWidth="1"/>
    <col min="8708" max="8708" width="15.28515625" style="1" customWidth="1"/>
    <col min="8709" max="8709" width="12" style="1" bestFit="1" customWidth="1"/>
    <col min="8710" max="8710" width="13.140625" style="1" customWidth="1"/>
    <col min="8711" max="8711" width="14" style="1" customWidth="1"/>
    <col min="8712" max="8712" width="12.140625" style="1" customWidth="1"/>
    <col min="8713" max="8713" width="14" style="1" customWidth="1"/>
    <col min="8714" max="8714" width="11.7109375" style="1" customWidth="1"/>
    <col min="8715" max="8717" width="9.140625" style="1"/>
    <col min="8718" max="8719" width="0" style="1" hidden="1" customWidth="1"/>
    <col min="8720" max="8961" width="9.140625" style="1"/>
    <col min="8962" max="8962" width="7.140625" style="1" bestFit="1" customWidth="1"/>
    <col min="8963" max="8963" width="18.42578125" style="1" bestFit="1" customWidth="1"/>
    <col min="8964" max="8964" width="15.28515625" style="1" customWidth="1"/>
    <col min="8965" max="8965" width="12" style="1" bestFit="1" customWidth="1"/>
    <col min="8966" max="8966" width="13.140625" style="1" customWidth="1"/>
    <col min="8967" max="8967" width="14" style="1" customWidth="1"/>
    <col min="8968" max="8968" width="12.140625" style="1" customWidth="1"/>
    <col min="8969" max="8969" width="14" style="1" customWidth="1"/>
    <col min="8970" max="8970" width="11.7109375" style="1" customWidth="1"/>
    <col min="8971" max="8973" width="9.140625" style="1"/>
    <col min="8974" max="8975" width="0" style="1" hidden="1" customWidth="1"/>
    <col min="8976" max="9217" width="9.140625" style="1"/>
    <col min="9218" max="9218" width="7.140625" style="1" bestFit="1" customWidth="1"/>
    <col min="9219" max="9219" width="18.42578125" style="1" bestFit="1" customWidth="1"/>
    <col min="9220" max="9220" width="15.28515625" style="1" customWidth="1"/>
    <col min="9221" max="9221" width="12" style="1" bestFit="1" customWidth="1"/>
    <col min="9222" max="9222" width="13.140625" style="1" customWidth="1"/>
    <col min="9223" max="9223" width="14" style="1" customWidth="1"/>
    <col min="9224" max="9224" width="12.140625" style="1" customWidth="1"/>
    <col min="9225" max="9225" width="14" style="1" customWidth="1"/>
    <col min="9226" max="9226" width="11.7109375" style="1" customWidth="1"/>
    <col min="9227" max="9229" width="9.140625" style="1"/>
    <col min="9230" max="9231" width="0" style="1" hidden="1" customWidth="1"/>
    <col min="9232" max="9473" width="9.140625" style="1"/>
    <col min="9474" max="9474" width="7.140625" style="1" bestFit="1" customWidth="1"/>
    <col min="9475" max="9475" width="18.42578125" style="1" bestFit="1" customWidth="1"/>
    <col min="9476" max="9476" width="15.28515625" style="1" customWidth="1"/>
    <col min="9477" max="9477" width="12" style="1" bestFit="1" customWidth="1"/>
    <col min="9478" max="9478" width="13.140625" style="1" customWidth="1"/>
    <col min="9479" max="9479" width="14" style="1" customWidth="1"/>
    <col min="9480" max="9480" width="12.140625" style="1" customWidth="1"/>
    <col min="9481" max="9481" width="14" style="1" customWidth="1"/>
    <col min="9482" max="9482" width="11.7109375" style="1" customWidth="1"/>
    <col min="9483" max="9485" width="9.140625" style="1"/>
    <col min="9486" max="9487" width="0" style="1" hidden="1" customWidth="1"/>
    <col min="9488" max="9729" width="9.140625" style="1"/>
    <col min="9730" max="9730" width="7.140625" style="1" bestFit="1" customWidth="1"/>
    <col min="9731" max="9731" width="18.42578125" style="1" bestFit="1" customWidth="1"/>
    <col min="9732" max="9732" width="15.28515625" style="1" customWidth="1"/>
    <col min="9733" max="9733" width="12" style="1" bestFit="1" customWidth="1"/>
    <col min="9734" max="9734" width="13.140625" style="1" customWidth="1"/>
    <col min="9735" max="9735" width="14" style="1" customWidth="1"/>
    <col min="9736" max="9736" width="12.140625" style="1" customWidth="1"/>
    <col min="9737" max="9737" width="14" style="1" customWidth="1"/>
    <col min="9738" max="9738" width="11.7109375" style="1" customWidth="1"/>
    <col min="9739" max="9741" width="9.140625" style="1"/>
    <col min="9742" max="9743" width="0" style="1" hidden="1" customWidth="1"/>
    <col min="9744" max="9985" width="9.140625" style="1"/>
    <col min="9986" max="9986" width="7.140625" style="1" bestFit="1" customWidth="1"/>
    <col min="9987" max="9987" width="18.42578125" style="1" bestFit="1" customWidth="1"/>
    <col min="9988" max="9988" width="15.28515625" style="1" customWidth="1"/>
    <col min="9989" max="9989" width="12" style="1" bestFit="1" customWidth="1"/>
    <col min="9990" max="9990" width="13.140625" style="1" customWidth="1"/>
    <col min="9991" max="9991" width="14" style="1" customWidth="1"/>
    <col min="9992" max="9992" width="12.140625" style="1" customWidth="1"/>
    <col min="9993" max="9993" width="14" style="1" customWidth="1"/>
    <col min="9994" max="9994" width="11.7109375" style="1" customWidth="1"/>
    <col min="9995" max="9997" width="9.140625" style="1"/>
    <col min="9998" max="9999" width="0" style="1" hidden="1" customWidth="1"/>
    <col min="10000" max="10241" width="9.140625" style="1"/>
    <col min="10242" max="10242" width="7.140625" style="1" bestFit="1" customWidth="1"/>
    <col min="10243" max="10243" width="18.42578125" style="1" bestFit="1" customWidth="1"/>
    <col min="10244" max="10244" width="15.28515625" style="1" customWidth="1"/>
    <col min="10245" max="10245" width="12" style="1" bestFit="1" customWidth="1"/>
    <col min="10246" max="10246" width="13.140625" style="1" customWidth="1"/>
    <col min="10247" max="10247" width="14" style="1" customWidth="1"/>
    <col min="10248" max="10248" width="12.140625" style="1" customWidth="1"/>
    <col min="10249" max="10249" width="14" style="1" customWidth="1"/>
    <col min="10250" max="10250" width="11.7109375" style="1" customWidth="1"/>
    <col min="10251" max="10253" width="9.140625" style="1"/>
    <col min="10254" max="10255" width="0" style="1" hidden="1" customWidth="1"/>
    <col min="10256" max="10497" width="9.140625" style="1"/>
    <col min="10498" max="10498" width="7.140625" style="1" bestFit="1" customWidth="1"/>
    <col min="10499" max="10499" width="18.42578125" style="1" bestFit="1" customWidth="1"/>
    <col min="10500" max="10500" width="15.28515625" style="1" customWidth="1"/>
    <col min="10501" max="10501" width="12" style="1" bestFit="1" customWidth="1"/>
    <col min="10502" max="10502" width="13.140625" style="1" customWidth="1"/>
    <col min="10503" max="10503" width="14" style="1" customWidth="1"/>
    <col min="10504" max="10504" width="12.140625" style="1" customWidth="1"/>
    <col min="10505" max="10505" width="14" style="1" customWidth="1"/>
    <col min="10506" max="10506" width="11.7109375" style="1" customWidth="1"/>
    <col min="10507" max="10509" width="9.140625" style="1"/>
    <col min="10510" max="10511" width="0" style="1" hidden="1" customWidth="1"/>
    <col min="10512" max="10753" width="9.140625" style="1"/>
    <col min="10754" max="10754" width="7.140625" style="1" bestFit="1" customWidth="1"/>
    <col min="10755" max="10755" width="18.42578125" style="1" bestFit="1" customWidth="1"/>
    <col min="10756" max="10756" width="15.28515625" style="1" customWidth="1"/>
    <col min="10757" max="10757" width="12" style="1" bestFit="1" customWidth="1"/>
    <col min="10758" max="10758" width="13.140625" style="1" customWidth="1"/>
    <col min="10759" max="10759" width="14" style="1" customWidth="1"/>
    <col min="10760" max="10760" width="12.140625" style="1" customWidth="1"/>
    <col min="10761" max="10761" width="14" style="1" customWidth="1"/>
    <col min="10762" max="10762" width="11.7109375" style="1" customWidth="1"/>
    <col min="10763" max="10765" width="9.140625" style="1"/>
    <col min="10766" max="10767" width="0" style="1" hidden="1" customWidth="1"/>
    <col min="10768" max="11009" width="9.140625" style="1"/>
    <col min="11010" max="11010" width="7.140625" style="1" bestFit="1" customWidth="1"/>
    <col min="11011" max="11011" width="18.42578125" style="1" bestFit="1" customWidth="1"/>
    <col min="11012" max="11012" width="15.28515625" style="1" customWidth="1"/>
    <col min="11013" max="11013" width="12" style="1" bestFit="1" customWidth="1"/>
    <col min="11014" max="11014" width="13.140625" style="1" customWidth="1"/>
    <col min="11015" max="11015" width="14" style="1" customWidth="1"/>
    <col min="11016" max="11016" width="12.140625" style="1" customWidth="1"/>
    <col min="11017" max="11017" width="14" style="1" customWidth="1"/>
    <col min="11018" max="11018" width="11.7109375" style="1" customWidth="1"/>
    <col min="11019" max="11021" width="9.140625" style="1"/>
    <col min="11022" max="11023" width="0" style="1" hidden="1" customWidth="1"/>
    <col min="11024" max="11265" width="9.140625" style="1"/>
    <col min="11266" max="11266" width="7.140625" style="1" bestFit="1" customWidth="1"/>
    <col min="11267" max="11267" width="18.42578125" style="1" bestFit="1" customWidth="1"/>
    <col min="11268" max="11268" width="15.28515625" style="1" customWidth="1"/>
    <col min="11269" max="11269" width="12" style="1" bestFit="1" customWidth="1"/>
    <col min="11270" max="11270" width="13.140625" style="1" customWidth="1"/>
    <col min="11271" max="11271" width="14" style="1" customWidth="1"/>
    <col min="11272" max="11272" width="12.140625" style="1" customWidth="1"/>
    <col min="11273" max="11273" width="14" style="1" customWidth="1"/>
    <col min="11274" max="11274" width="11.7109375" style="1" customWidth="1"/>
    <col min="11275" max="11277" width="9.140625" style="1"/>
    <col min="11278" max="11279" width="0" style="1" hidden="1" customWidth="1"/>
    <col min="11280" max="11521" width="9.140625" style="1"/>
    <col min="11522" max="11522" width="7.140625" style="1" bestFit="1" customWidth="1"/>
    <col min="11523" max="11523" width="18.42578125" style="1" bestFit="1" customWidth="1"/>
    <col min="11524" max="11524" width="15.28515625" style="1" customWidth="1"/>
    <col min="11525" max="11525" width="12" style="1" bestFit="1" customWidth="1"/>
    <col min="11526" max="11526" width="13.140625" style="1" customWidth="1"/>
    <col min="11527" max="11527" width="14" style="1" customWidth="1"/>
    <col min="11528" max="11528" width="12.140625" style="1" customWidth="1"/>
    <col min="11529" max="11529" width="14" style="1" customWidth="1"/>
    <col min="11530" max="11530" width="11.7109375" style="1" customWidth="1"/>
    <col min="11531" max="11533" width="9.140625" style="1"/>
    <col min="11534" max="11535" width="0" style="1" hidden="1" customWidth="1"/>
    <col min="11536" max="11777" width="9.140625" style="1"/>
    <col min="11778" max="11778" width="7.140625" style="1" bestFit="1" customWidth="1"/>
    <col min="11779" max="11779" width="18.42578125" style="1" bestFit="1" customWidth="1"/>
    <col min="11780" max="11780" width="15.28515625" style="1" customWidth="1"/>
    <col min="11781" max="11781" width="12" style="1" bestFit="1" customWidth="1"/>
    <col min="11782" max="11782" width="13.140625" style="1" customWidth="1"/>
    <col min="11783" max="11783" width="14" style="1" customWidth="1"/>
    <col min="11784" max="11784" width="12.140625" style="1" customWidth="1"/>
    <col min="11785" max="11785" width="14" style="1" customWidth="1"/>
    <col min="11786" max="11786" width="11.7109375" style="1" customWidth="1"/>
    <col min="11787" max="11789" width="9.140625" style="1"/>
    <col min="11790" max="11791" width="0" style="1" hidden="1" customWidth="1"/>
    <col min="11792" max="12033" width="9.140625" style="1"/>
    <col min="12034" max="12034" width="7.140625" style="1" bestFit="1" customWidth="1"/>
    <col min="12035" max="12035" width="18.42578125" style="1" bestFit="1" customWidth="1"/>
    <col min="12036" max="12036" width="15.28515625" style="1" customWidth="1"/>
    <col min="12037" max="12037" width="12" style="1" bestFit="1" customWidth="1"/>
    <col min="12038" max="12038" width="13.140625" style="1" customWidth="1"/>
    <col min="12039" max="12039" width="14" style="1" customWidth="1"/>
    <col min="12040" max="12040" width="12.140625" style="1" customWidth="1"/>
    <col min="12041" max="12041" width="14" style="1" customWidth="1"/>
    <col min="12042" max="12042" width="11.7109375" style="1" customWidth="1"/>
    <col min="12043" max="12045" width="9.140625" style="1"/>
    <col min="12046" max="12047" width="0" style="1" hidden="1" customWidth="1"/>
    <col min="12048" max="12289" width="9.140625" style="1"/>
    <col min="12290" max="12290" width="7.140625" style="1" bestFit="1" customWidth="1"/>
    <col min="12291" max="12291" width="18.42578125" style="1" bestFit="1" customWidth="1"/>
    <col min="12292" max="12292" width="15.28515625" style="1" customWidth="1"/>
    <col min="12293" max="12293" width="12" style="1" bestFit="1" customWidth="1"/>
    <col min="12294" max="12294" width="13.140625" style="1" customWidth="1"/>
    <col min="12295" max="12295" width="14" style="1" customWidth="1"/>
    <col min="12296" max="12296" width="12.140625" style="1" customWidth="1"/>
    <col min="12297" max="12297" width="14" style="1" customWidth="1"/>
    <col min="12298" max="12298" width="11.7109375" style="1" customWidth="1"/>
    <col min="12299" max="12301" width="9.140625" style="1"/>
    <col min="12302" max="12303" width="0" style="1" hidden="1" customWidth="1"/>
    <col min="12304" max="12545" width="9.140625" style="1"/>
    <col min="12546" max="12546" width="7.140625" style="1" bestFit="1" customWidth="1"/>
    <col min="12547" max="12547" width="18.42578125" style="1" bestFit="1" customWidth="1"/>
    <col min="12548" max="12548" width="15.28515625" style="1" customWidth="1"/>
    <col min="12549" max="12549" width="12" style="1" bestFit="1" customWidth="1"/>
    <col min="12550" max="12550" width="13.140625" style="1" customWidth="1"/>
    <col min="12551" max="12551" width="14" style="1" customWidth="1"/>
    <col min="12552" max="12552" width="12.140625" style="1" customWidth="1"/>
    <col min="12553" max="12553" width="14" style="1" customWidth="1"/>
    <col min="12554" max="12554" width="11.7109375" style="1" customWidth="1"/>
    <col min="12555" max="12557" width="9.140625" style="1"/>
    <col min="12558" max="12559" width="0" style="1" hidden="1" customWidth="1"/>
    <col min="12560" max="12801" width="9.140625" style="1"/>
    <col min="12802" max="12802" width="7.140625" style="1" bestFit="1" customWidth="1"/>
    <col min="12803" max="12803" width="18.42578125" style="1" bestFit="1" customWidth="1"/>
    <col min="12804" max="12804" width="15.28515625" style="1" customWidth="1"/>
    <col min="12805" max="12805" width="12" style="1" bestFit="1" customWidth="1"/>
    <col min="12806" max="12806" width="13.140625" style="1" customWidth="1"/>
    <col min="12807" max="12807" width="14" style="1" customWidth="1"/>
    <col min="12808" max="12808" width="12.140625" style="1" customWidth="1"/>
    <col min="12809" max="12809" width="14" style="1" customWidth="1"/>
    <col min="12810" max="12810" width="11.7109375" style="1" customWidth="1"/>
    <col min="12811" max="12813" width="9.140625" style="1"/>
    <col min="12814" max="12815" width="0" style="1" hidden="1" customWidth="1"/>
    <col min="12816" max="13057" width="9.140625" style="1"/>
    <col min="13058" max="13058" width="7.140625" style="1" bestFit="1" customWidth="1"/>
    <col min="13059" max="13059" width="18.42578125" style="1" bestFit="1" customWidth="1"/>
    <col min="13060" max="13060" width="15.28515625" style="1" customWidth="1"/>
    <col min="13061" max="13061" width="12" style="1" bestFit="1" customWidth="1"/>
    <col min="13062" max="13062" width="13.140625" style="1" customWidth="1"/>
    <col min="13063" max="13063" width="14" style="1" customWidth="1"/>
    <col min="13064" max="13064" width="12.140625" style="1" customWidth="1"/>
    <col min="13065" max="13065" width="14" style="1" customWidth="1"/>
    <col min="13066" max="13066" width="11.7109375" style="1" customWidth="1"/>
    <col min="13067" max="13069" width="9.140625" style="1"/>
    <col min="13070" max="13071" width="0" style="1" hidden="1" customWidth="1"/>
    <col min="13072" max="13313" width="9.140625" style="1"/>
    <col min="13314" max="13314" width="7.140625" style="1" bestFit="1" customWidth="1"/>
    <col min="13315" max="13315" width="18.42578125" style="1" bestFit="1" customWidth="1"/>
    <col min="13316" max="13316" width="15.28515625" style="1" customWidth="1"/>
    <col min="13317" max="13317" width="12" style="1" bestFit="1" customWidth="1"/>
    <col min="13318" max="13318" width="13.140625" style="1" customWidth="1"/>
    <col min="13319" max="13319" width="14" style="1" customWidth="1"/>
    <col min="13320" max="13320" width="12.140625" style="1" customWidth="1"/>
    <col min="13321" max="13321" width="14" style="1" customWidth="1"/>
    <col min="13322" max="13322" width="11.7109375" style="1" customWidth="1"/>
    <col min="13323" max="13325" width="9.140625" style="1"/>
    <col min="13326" max="13327" width="0" style="1" hidden="1" customWidth="1"/>
    <col min="13328" max="13569" width="9.140625" style="1"/>
    <col min="13570" max="13570" width="7.140625" style="1" bestFit="1" customWidth="1"/>
    <col min="13571" max="13571" width="18.42578125" style="1" bestFit="1" customWidth="1"/>
    <col min="13572" max="13572" width="15.28515625" style="1" customWidth="1"/>
    <col min="13573" max="13573" width="12" style="1" bestFit="1" customWidth="1"/>
    <col min="13574" max="13574" width="13.140625" style="1" customWidth="1"/>
    <col min="13575" max="13575" width="14" style="1" customWidth="1"/>
    <col min="13576" max="13576" width="12.140625" style="1" customWidth="1"/>
    <col min="13577" max="13577" width="14" style="1" customWidth="1"/>
    <col min="13578" max="13578" width="11.7109375" style="1" customWidth="1"/>
    <col min="13579" max="13581" width="9.140625" style="1"/>
    <col min="13582" max="13583" width="0" style="1" hidden="1" customWidth="1"/>
    <col min="13584" max="13825" width="9.140625" style="1"/>
    <col min="13826" max="13826" width="7.140625" style="1" bestFit="1" customWidth="1"/>
    <col min="13827" max="13827" width="18.42578125" style="1" bestFit="1" customWidth="1"/>
    <col min="13828" max="13828" width="15.28515625" style="1" customWidth="1"/>
    <col min="13829" max="13829" width="12" style="1" bestFit="1" customWidth="1"/>
    <col min="13830" max="13830" width="13.140625" style="1" customWidth="1"/>
    <col min="13831" max="13831" width="14" style="1" customWidth="1"/>
    <col min="13832" max="13832" width="12.140625" style="1" customWidth="1"/>
    <col min="13833" max="13833" width="14" style="1" customWidth="1"/>
    <col min="13834" max="13834" width="11.7109375" style="1" customWidth="1"/>
    <col min="13835" max="13837" width="9.140625" style="1"/>
    <col min="13838" max="13839" width="0" style="1" hidden="1" customWidth="1"/>
    <col min="13840" max="14081" width="9.140625" style="1"/>
    <col min="14082" max="14082" width="7.140625" style="1" bestFit="1" customWidth="1"/>
    <col min="14083" max="14083" width="18.42578125" style="1" bestFit="1" customWidth="1"/>
    <col min="14084" max="14084" width="15.28515625" style="1" customWidth="1"/>
    <col min="14085" max="14085" width="12" style="1" bestFit="1" customWidth="1"/>
    <col min="14086" max="14086" width="13.140625" style="1" customWidth="1"/>
    <col min="14087" max="14087" width="14" style="1" customWidth="1"/>
    <col min="14088" max="14088" width="12.140625" style="1" customWidth="1"/>
    <col min="14089" max="14089" width="14" style="1" customWidth="1"/>
    <col min="14090" max="14090" width="11.7109375" style="1" customWidth="1"/>
    <col min="14091" max="14093" width="9.140625" style="1"/>
    <col min="14094" max="14095" width="0" style="1" hidden="1" customWidth="1"/>
    <col min="14096" max="14337" width="9.140625" style="1"/>
    <col min="14338" max="14338" width="7.140625" style="1" bestFit="1" customWidth="1"/>
    <col min="14339" max="14339" width="18.42578125" style="1" bestFit="1" customWidth="1"/>
    <col min="14340" max="14340" width="15.28515625" style="1" customWidth="1"/>
    <col min="14341" max="14341" width="12" style="1" bestFit="1" customWidth="1"/>
    <col min="14342" max="14342" width="13.140625" style="1" customWidth="1"/>
    <col min="14343" max="14343" width="14" style="1" customWidth="1"/>
    <col min="14344" max="14344" width="12.140625" style="1" customWidth="1"/>
    <col min="14345" max="14345" width="14" style="1" customWidth="1"/>
    <col min="14346" max="14346" width="11.7109375" style="1" customWidth="1"/>
    <col min="14347" max="14349" width="9.140625" style="1"/>
    <col min="14350" max="14351" width="0" style="1" hidden="1" customWidth="1"/>
    <col min="14352" max="14593" width="9.140625" style="1"/>
    <col min="14594" max="14594" width="7.140625" style="1" bestFit="1" customWidth="1"/>
    <col min="14595" max="14595" width="18.42578125" style="1" bestFit="1" customWidth="1"/>
    <col min="14596" max="14596" width="15.28515625" style="1" customWidth="1"/>
    <col min="14597" max="14597" width="12" style="1" bestFit="1" customWidth="1"/>
    <col min="14598" max="14598" width="13.140625" style="1" customWidth="1"/>
    <col min="14599" max="14599" width="14" style="1" customWidth="1"/>
    <col min="14600" max="14600" width="12.140625" style="1" customWidth="1"/>
    <col min="14601" max="14601" width="14" style="1" customWidth="1"/>
    <col min="14602" max="14602" width="11.7109375" style="1" customWidth="1"/>
    <col min="14603" max="14605" width="9.140625" style="1"/>
    <col min="14606" max="14607" width="0" style="1" hidden="1" customWidth="1"/>
    <col min="14608" max="14849" width="9.140625" style="1"/>
    <col min="14850" max="14850" width="7.140625" style="1" bestFit="1" customWidth="1"/>
    <col min="14851" max="14851" width="18.42578125" style="1" bestFit="1" customWidth="1"/>
    <col min="14852" max="14852" width="15.28515625" style="1" customWidth="1"/>
    <col min="14853" max="14853" width="12" style="1" bestFit="1" customWidth="1"/>
    <col min="14854" max="14854" width="13.140625" style="1" customWidth="1"/>
    <col min="14855" max="14855" width="14" style="1" customWidth="1"/>
    <col min="14856" max="14856" width="12.140625" style="1" customWidth="1"/>
    <col min="14857" max="14857" width="14" style="1" customWidth="1"/>
    <col min="14858" max="14858" width="11.7109375" style="1" customWidth="1"/>
    <col min="14859" max="14861" width="9.140625" style="1"/>
    <col min="14862" max="14863" width="0" style="1" hidden="1" customWidth="1"/>
    <col min="14864" max="15105" width="9.140625" style="1"/>
    <col min="15106" max="15106" width="7.140625" style="1" bestFit="1" customWidth="1"/>
    <col min="15107" max="15107" width="18.42578125" style="1" bestFit="1" customWidth="1"/>
    <col min="15108" max="15108" width="15.28515625" style="1" customWidth="1"/>
    <col min="15109" max="15109" width="12" style="1" bestFit="1" customWidth="1"/>
    <col min="15110" max="15110" width="13.140625" style="1" customWidth="1"/>
    <col min="15111" max="15111" width="14" style="1" customWidth="1"/>
    <col min="15112" max="15112" width="12.140625" style="1" customWidth="1"/>
    <col min="15113" max="15113" width="14" style="1" customWidth="1"/>
    <col min="15114" max="15114" width="11.7109375" style="1" customWidth="1"/>
    <col min="15115" max="15117" width="9.140625" style="1"/>
    <col min="15118" max="15119" width="0" style="1" hidden="1" customWidth="1"/>
    <col min="15120" max="15361" width="9.140625" style="1"/>
    <col min="15362" max="15362" width="7.140625" style="1" bestFit="1" customWidth="1"/>
    <col min="15363" max="15363" width="18.42578125" style="1" bestFit="1" customWidth="1"/>
    <col min="15364" max="15364" width="15.28515625" style="1" customWidth="1"/>
    <col min="15365" max="15365" width="12" style="1" bestFit="1" customWidth="1"/>
    <col min="15366" max="15366" width="13.140625" style="1" customWidth="1"/>
    <col min="15367" max="15367" width="14" style="1" customWidth="1"/>
    <col min="15368" max="15368" width="12.140625" style="1" customWidth="1"/>
    <col min="15369" max="15369" width="14" style="1" customWidth="1"/>
    <col min="15370" max="15370" width="11.7109375" style="1" customWidth="1"/>
    <col min="15371" max="15373" width="9.140625" style="1"/>
    <col min="15374" max="15375" width="0" style="1" hidden="1" customWidth="1"/>
    <col min="15376" max="15617" width="9.140625" style="1"/>
    <col min="15618" max="15618" width="7.140625" style="1" bestFit="1" customWidth="1"/>
    <col min="15619" max="15619" width="18.42578125" style="1" bestFit="1" customWidth="1"/>
    <col min="15620" max="15620" width="15.28515625" style="1" customWidth="1"/>
    <col min="15621" max="15621" width="12" style="1" bestFit="1" customWidth="1"/>
    <col min="15622" max="15622" width="13.140625" style="1" customWidth="1"/>
    <col min="15623" max="15623" width="14" style="1" customWidth="1"/>
    <col min="15624" max="15624" width="12.140625" style="1" customWidth="1"/>
    <col min="15625" max="15625" width="14" style="1" customWidth="1"/>
    <col min="15626" max="15626" width="11.7109375" style="1" customWidth="1"/>
    <col min="15627" max="15629" width="9.140625" style="1"/>
    <col min="15630" max="15631" width="0" style="1" hidden="1" customWidth="1"/>
    <col min="15632" max="15873" width="9.140625" style="1"/>
    <col min="15874" max="15874" width="7.140625" style="1" bestFit="1" customWidth="1"/>
    <col min="15875" max="15875" width="18.42578125" style="1" bestFit="1" customWidth="1"/>
    <col min="15876" max="15876" width="15.28515625" style="1" customWidth="1"/>
    <col min="15877" max="15877" width="12" style="1" bestFit="1" customWidth="1"/>
    <col min="15878" max="15878" width="13.140625" style="1" customWidth="1"/>
    <col min="15879" max="15879" width="14" style="1" customWidth="1"/>
    <col min="15880" max="15880" width="12.140625" style="1" customWidth="1"/>
    <col min="15881" max="15881" width="14" style="1" customWidth="1"/>
    <col min="15882" max="15882" width="11.7109375" style="1" customWidth="1"/>
    <col min="15883" max="15885" width="9.140625" style="1"/>
    <col min="15886" max="15887" width="0" style="1" hidden="1" customWidth="1"/>
    <col min="15888" max="16129" width="9.140625" style="1"/>
    <col min="16130" max="16130" width="7.140625" style="1" bestFit="1" customWidth="1"/>
    <col min="16131" max="16131" width="18.42578125" style="1" bestFit="1" customWidth="1"/>
    <col min="16132" max="16132" width="15.28515625" style="1" customWidth="1"/>
    <col min="16133" max="16133" width="12" style="1" bestFit="1" customWidth="1"/>
    <col min="16134" max="16134" width="13.140625" style="1" customWidth="1"/>
    <col min="16135" max="16135" width="14" style="1" customWidth="1"/>
    <col min="16136" max="16136" width="12.140625" style="1" customWidth="1"/>
    <col min="16137" max="16137" width="14" style="1" customWidth="1"/>
    <col min="16138" max="16138" width="11.7109375" style="1" customWidth="1"/>
    <col min="16139" max="16141" width="9.140625" style="1"/>
    <col min="16142" max="16143" width="0" style="1" hidden="1" customWidth="1"/>
    <col min="16144" max="16384" width="9.140625" style="1"/>
  </cols>
  <sheetData>
    <row r="1" spans="2:17">
      <c r="H1" s="1518"/>
    </row>
    <row r="2" spans="2:17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</row>
    <row r="3" spans="2:17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</row>
    <row r="4" spans="2:17" ht="15.75" customHeight="1">
      <c r="B4" s="2549" t="s">
        <v>92</v>
      </c>
      <c r="C4" s="2549"/>
      <c r="D4" s="2549"/>
      <c r="E4" s="2549"/>
      <c r="F4" s="2549"/>
      <c r="G4" s="2549"/>
      <c r="H4" s="2549"/>
      <c r="I4" s="2549"/>
    </row>
    <row r="5" spans="2:17" ht="15.75" customHeight="1">
      <c r="B5" s="1519"/>
      <c r="C5" s="1519"/>
      <c r="D5" s="2549" t="s">
        <v>2755</v>
      </c>
      <c r="E5" s="2549"/>
      <c r="F5" s="2549"/>
      <c r="G5" s="1519"/>
      <c r="H5" s="1519"/>
      <c r="I5" s="1519"/>
    </row>
    <row r="6" spans="2:17" hidden="1">
      <c r="B6" s="147" t="s">
        <v>341</v>
      </c>
      <c r="I6" s="147" t="s">
        <v>97</v>
      </c>
      <c r="J6" s="1" t="s">
        <v>2617</v>
      </c>
    </row>
    <row r="7" spans="2:17" ht="47.25" hidden="1">
      <c r="B7" s="564" t="s">
        <v>389</v>
      </c>
      <c r="C7" s="564" t="s">
        <v>435</v>
      </c>
      <c r="D7" s="564" t="s">
        <v>436</v>
      </c>
      <c r="E7" s="564" t="s">
        <v>437</v>
      </c>
      <c r="F7" s="564" t="s">
        <v>438</v>
      </c>
      <c r="G7" s="564" t="s">
        <v>439</v>
      </c>
      <c r="H7" s="564" t="s">
        <v>411</v>
      </c>
      <c r="I7" s="564" t="s">
        <v>183</v>
      </c>
      <c r="J7" s="1531" t="s">
        <v>2618</v>
      </c>
      <c r="N7" s="1" t="s">
        <v>441</v>
      </c>
      <c r="O7" s="1" t="s">
        <v>151</v>
      </c>
    </row>
    <row r="8" spans="2:17" hidden="1">
      <c r="B8" s="346">
        <v>1</v>
      </c>
      <c r="C8" s="346" t="str">
        <f>C17</f>
        <v>Commercial Banks</v>
      </c>
      <c r="D8" s="91">
        <v>310.70999999999998</v>
      </c>
      <c r="E8" s="1532"/>
      <c r="F8" s="346">
        <v>0</v>
      </c>
      <c r="G8" s="91">
        <v>41.69</v>
      </c>
      <c r="H8" s="91">
        <f>D8+F8-G8</f>
        <v>269.02</v>
      </c>
      <c r="I8" s="91">
        <v>28</v>
      </c>
      <c r="K8" s="1" t="s">
        <v>379</v>
      </c>
      <c r="L8" s="1" t="s">
        <v>2619</v>
      </c>
      <c r="M8" s="1" t="s">
        <v>2620</v>
      </c>
      <c r="N8" s="1533">
        <f>(D8+H8)/2</f>
        <v>289.86500000000001</v>
      </c>
      <c r="O8" s="1534">
        <f>I8/N8</f>
        <v>9.6596691563313949E-2</v>
      </c>
      <c r="P8" s="1" t="s">
        <v>2621</v>
      </c>
      <c r="Q8" s="1" t="s">
        <v>2622</v>
      </c>
    </row>
    <row r="9" spans="2:17" hidden="1">
      <c r="B9" s="346">
        <v>2</v>
      </c>
      <c r="C9" s="346" t="s">
        <v>378</v>
      </c>
      <c r="D9" s="91">
        <v>302.3</v>
      </c>
      <c r="E9" s="1535"/>
      <c r="F9" s="346">
        <v>0</v>
      </c>
      <c r="G9" s="91">
        <v>40.909999999999997</v>
      </c>
      <c r="H9" s="91">
        <f>D9+F9-G9</f>
        <v>261.39</v>
      </c>
      <c r="I9" s="91">
        <v>29.07</v>
      </c>
      <c r="K9" s="1" t="s">
        <v>2193</v>
      </c>
      <c r="L9" s="1">
        <f>'REC-M'!D3/10^7</f>
        <v>27.320899199999999</v>
      </c>
      <c r="M9" s="1">
        <f>'REC-M'!C16/10^7</f>
        <v>5.4641820000000001</v>
      </c>
      <c r="N9" s="1533">
        <f>(D9+H9)/2</f>
        <v>281.84500000000003</v>
      </c>
      <c r="O9" s="1534">
        <f>I9/N9</f>
        <v>0.10314179779666127</v>
      </c>
      <c r="P9" s="1">
        <f>'REC-M'!E16/10^7</f>
        <v>2.3373962000000001</v>
      </c>
      <c r="Q9" s="1">
        <f>L9-M9</f>
        <v>21.856717199999999</v>
      </c>
    </row>
    <row r="10" spans="2:17" hidden="1">
      <c r="B10" s="346">
        <v>3</v>
      </c>
      <c r="C10" s="346" t="s">
        <v>379</v>
      </c>
      <c r="D10" s="91">
        <v>274.06</v>
      </c>
      <c r="E10" s="1532"/>
      <c r="F10" s="1536">
        <v>274.68</v>
      </c>
      <c r="G10" s="91">
        <v>24.77</v>
      </c>
      <c r="H10" s="91">
        <f>D10+F10-G10</f>
        <v>523.97</v>
      </c>
      <c r="I10" s="91">
        <v>35.47</v>
      </c>
      <c r="N10" s="1533">
        <f>(D10+H10)/2</f>
        <v>399.01499999999999</v>
      </c>
      <c r="O10" s="1534">
        <f>I10/N10</f>
        <v>8.8893901231783271E-2</v>
      </c>
    </row>
    <row r="11" spans="2:17" hidden="1">
      <c r="B11" s="346"/>
      <c r="C11" s="346"/>
      <c r="D11" s="530">
        <f>SUM(D8:D10)</f>
        <v>887.06999999999994</v>
      </c>
      <c r="E11" s="346"/>
      <c r="F11" s="530">
        <f>SUM(F8:F10)</f>
        <v>274.68</v>
      </c>
      <c r="G11" s="530">
        <f>SUM(G8:G10)</f>
        <v>107.36999999999999</v>
      </c>
      <c r="H11" s="530">
        <f>SUM(H8:H10)</f>
        <v>1054.3800000000001</v>
      </c>
      <c r="I11" s="530">
        <f>SUM(I8:I10)</f>
        <v>92.539999999999992</v>
      </c>
      <c r="N11" s="1537">
        <f>SUM(N8:N10)</f>
        <v>970.72500000000002</v>
      </c>
      <c r="O11" s="1538"/>
    </row>
    <row r="12" spans="2:17" hidden="1">
      <c r="B12" s="346"/>
      <c r="C12" s="570" t="s">
        <v>2623</v>
      </c>
      <c r="D12" s="1539"/>
      <c r="E12" s="1539"/>
      <c r="F12" s="1539"/>
      <c r="G12" s="1450"/>
      <c r="H12" s="346"/>
      <c r="I12" s="91">
        <v>18.260000000000002</v>
      </c>
    </row>
    <row r="13" spans="2:17" hidden="1">
      <c r="B13" s="346"/>
      <c r="C13" s="570" t="s">
        <v>197</v>
      </c>
      <c r="D13" s="1539"/>
      <c r="E13" s="1539"/>
      <c r="F13" s="1539"/>
      <c r="G13" s="1450"/>
      <c r="H13" s="346"/>
      <c r="I13" s="530">
        <f>I11-I12</f>
        <v>74.279999999999987</v>
      </c>
      <c r="K13" s="1534">
        <f>I10/(D10+F11)*2</f>
        <v>0.12927798228669315</v>
      </c>
    </row>
    <row r="14" spans="2:17" hidden="1"/>
    <row r="15" spans="2:17" hidden="1">
      <c r="B15" s="147" t="s">
        <v>342</v>
      </c>
      <c r="H15" s="2565" t="s">
        <v>97</v>
      </c>
      <c r="I15" s="2565"/>
    </row>
    <row r="16" spans="2:17" ht="47.25" hidden="1">
      <c r="B16" s="564" t="s">
        <v>389</v>
      </c>
      <c r="C16" s="564" t="s">
        <v>435</v>
      </c>
      <c r="D16" s="564" t="s">
        <v>436</v>
      </c>
      <c r="E16" s="564" t="s">
        <v>437</v>
      </c>
      <c r="F16" s="564" t="s">
        <v>438</v>
      </c>
      <c r="G16" s="564" t="s">
        <v>439</v>
      </c>
      <c r="H16" s="564" t="s">
        <v>411</v>
      </c>
      <c r="I16" s="564" t="s">
        <v>183</v>
      </c>
      <c r="J16" s="1" t="s">
        <v>2624</v>
      </c>
      <c r="M16" s="1" t="s">
        <v>397</v>
      </c>
      <c r="N16" s="1" t="s">
        <v>1278</v>
      </c>
      <c r="O16" s="1" t="s">
        <v>1895</v>
      </c>
      <c r="P16" s="1" t="s">
        <v>441</v>
      </c>
      <c r="Q16" s="1" t="s">
        <v>151</v>
      </c>
    </row>
    <row r="17" spans="2:19" hidden="1">
      <c r="B17" s="346">
        <v>1</v>
      </c>
      <c r="C17" s="346" t="s">
        <v>1341</v>
      </c>
      <c r="D17" s="91">
        <f>H8</f>
        <v>269.02</v>
      </c>
      <c r="E17" s="1532"/>
      <c r="F17" s="91">
        <v>50</v>
      </c>
      <c r="G17" s="91">
        <v>57.17</v>
      </c>
      <c r="H17" s="91">
        <f>D17+F17-G17</f>
        <v>261.84999999999997</v>
      </c>
      <c r="I17" s="91">
        <v>29.33</v>
      </c>
      <c r="J17" s="354">
        <f>I17/((D17+H17)/2)</f>
        <v>0.11049786200011304</v>
      </c>
      <c r="L17" s="1">
        <v>53.5</v>
      </c>
      <c r="M17" s="1" t="s">
        <v>2625</v>
      </c>
      <c r="N17" s="1" t="s">
        <v>2626</v>
      </c>
      <c r="O17" s="1">
        <v>78.551000000000002</v>
      </c>
      <c r="P17" s="1533">
        <f>(D17+H17)/2</f>
        <v>265.43499999999995</v>
      </c>
      <c r="Q17" s="1534">
        <f>I17/P17</f>
        <v>0.11049786200011304</v>
      </c>
      <c r="S17" s="354">
        <f>I17/(D17+H17)*2</f>
        <v>0.11049786200011304</v>
      </c>
    </row>
    <row r="18" spans="2:19" hidden="1">
      <c r="B18" s="346">
        <v>2</v>
      </c>
      <c r="C18" s="346" t="s">
        <v>378</v>
      </c>
      <c r="D18" s="91">
        <f>H9</f>
        <v>261.39</v>
      </c>
      <c r="E18" s="1535"/>
      <c r="F18" s="346">
        <v>0</v>
      </c>
      <c r="G18" s="91">
        <v>40.92</v>
      </c>
      <c r="H18" s="91">
        <f>D18+F18-G18</f>
        <v>220.46999999999997</v>
      </c>
      <c r="I18" s="91">
        <v>26.15</v>
      </c>
      <c r="J18" s="354">
        <f>I18/((D18+H18)/2)</f>
        <v>0.10853774955381232</v>
      </c>
      <c r="L18" s="1">
        <v>52.5</v>
      </c>
      <c r="M18" s="1" t="s">
        <v>2625</v>
      </c>
      <c r="N18" s="1" t="s">
        <v>2626</v>
      </c>
      <c r="O18" s="1">
        <v>78.501000000000005</v>
      </c>
      <c r="P18" s="1533">
        <f>(D18+H18)/2</f>
        <v>240.92999999999998</v>
      </c>
      <c r="Q18" s="1534">
        <f>I18/P18</f>
        <v>0.10853774955381232</v>
      </c>
      <c r="S18" s="354">
        <f>I18/(D18+H18)*2</f>
        <v>0.10853774955381232</v>
      </c>
    </row>
    <row r="19" spans="2:19" hidden="1">
      <c r="B19" s="346">
        <v>3</v>
      </c>
      <c r="C19" s="346" t="s">
        <v>379</v>
      </c>
      <c r="D19" s="91">
        <f>H10</f>
        <v>523.97</v>
      </c>
      <c r="E19" s="1532"/>
      <c r="F19" s="91">
        <v>658.49</v>
      </c>
      <c r="G19" s="91">
        <v>41.54</v>
      </c>
      <c r="H19" s="91">
        <f>D19+F19-G19</f>
        <v>1140.92</v>
      </c>
      <c r="I19" s="91">
        <v>93.04</v>
      </c>
      <c r="J19" s="354">
        <f>I19/((D19+H19)/2)</f>
        <v>0.11176714377526444</v>
      </c>
      <c r="L19" s="1">
        <v>53.3</v>
      </c>
      <c r="M19" s="1" t="s">
        <v>2625</v>
      </c>
      <c r="N19" s="1" t="s">
        <v>2626</v>
      </c>
      <c r="O19" s="1">
        <v>78.531000000000006</v>
      </c>
      <c r="P19" s="1533">
        <f>(D19+H19)/2</f>
        <v>832.44500000000005</v>
      </c>
      <c r="Q19" s="1534">
        <f>I19/P19</f>
        <v>0.11176714377526444</v>
      </c>
      <c r="S19" s="354">
        <f>I19/(D19+H19)*2</f>
        <v>0.11176714377526444</v>
      </c>
    </row>
    <row r="20" spans="2:19" hidden="1">
      <c r="B20" s="346"/>
      <c r="C20" s="346"/>
      <c r="D20" s="530">
        <f>SUM(D17:D19)</f>
        <v>1054.3800000000001</v>
      </c>
      <c r="E20" s="346"/>
      <c r="F20" s="530">
        <f>SUM(F17:F19)</f>
        <v>708.49</v>
      </c>
      <c r="G20" s="530">
        <f>SUM(G17:G19)</f>
        <v>139.63</v>
      </c>
      <c r="H20" s="530">
        <f>SUM(H17:H19)</f>
        <v>1623.24</v>
      </c>
      <c r="I20" s="530">
        <f>SUM(I17:I19)</f>
        <v>148.52000000000001</v>
      </c>
      <c r="L20" s="1">
        <f>OBC!S16/10^7</f>
        <v>211.84285700000001</v>
      </c>
      <c r="M20" s="1">
        <f>OBC!T16/10^7</f>
        <v>26.869495100000002</v>
      </c>
      <c r="N20" s="1537">
        <f>SUM(P17:P19)</f>
        <v>1338.81</v>
      </c>
    </row>
    <row r="21" spans="2:19" hidden="1">
      <c r="B21" s="346"/>
      <c r="C21" s="2566" t="s">
        <v>2623</v>
      </c>
      <c r="D21" s="2560"/>
      <c r="E21" s="2560"/>
      <c r="F21" s="2560"/>
      <c r="G21" s="2560"/>
      <c r="H21" s="2561"/>
      <c r="I21" s="91">
        <v>66.88</v>
      </c>
    </row>
    <row r="22" spans="2:19" hidden="1">
      <c r="B22" s="346"/>
      <c r="C22" s="2566" t="s">
        <v>197</v>
      </c>
      <c r="D22" s="2560"/>
      <c r="E22" s="2560"/>
      <c r="F22" s="2560"/>
      <c r="G22" s="2560"/>
      <c r="H22" s="2561"/>
      <c r="I22" s="530">
        <f>I20-I21</f>
        <v>81.640000000000015</v>
      </c>
    </row>
    <row r="23" spans="2:19" hidden="1"/>
    <row r="24" spans="2:19" hidden="1">
      <c r="B24" s="147" t="s">
        <v>2627</v>
      </c>
      <c r="H24" s="2565" t="s">
        <v>97</v>
      </c>
      <c r="I24" s="2565"/>
    </row>
    <row r="25" spans="2:19" ht="47.25" hidden="1">
      <c r="B25" s="564" t="s">
        <v>389</v>
      </c>
      <c r="C25" s="564" t="s">
        <v>435</v>
      </c>
      <c r="D25" s="564" t="s">
        <v>436</v>
      </c>
      <c r="E25" s="564" t="s">
        <v>437</v>
      </c>
      <c r="F25" s="564" t="s">
        <v>438</v>
      </c>
      <c r="G25" s="564" t="s">
        <v>439</v>
      </c>
      <c r="H25" s="564" t="s">
        <v>411</v>
      </c>
      <c r="I25" s="564" t="s">
        <v>183</v>
      </c>
    </row>
    <row r="26" spans="2:19" hidden="1">
      <c r="B26" s="346">
        <v>1</v>
      </c>
      <c r="C26" s="346" t="str">
        <f>C17</f>
        <v>Commercial Banks</v>
      </c>
      <c r="D26" s="91">
        <f>H17</f>
        <v>261.84999999999997</v>
      </c>
      <c r="E26" s="1532"/>
      <c r="F26" s="346">
        <v>0</v>
      </c>
      <c r="G26" s="91">
        <v>19.856000000000002</v>
      </c>
      <c r="H26" s="91">
        <f>D26+F26-G26</f>
        <v>241.99399999999997</v>
      </c>
      <c r="I26" s="91">
        <v>13.6380544</v>
      </c>
    </row>
    <row r="27" spans="2:19" hidden="1">
      <c r="B27" s="346">
        <v>2</v>
      </c>
      <c r="C27" s="346" t="s">
        <v>378</v>
      </c>
      <c r="D27" s="91">
        <f>H18</f>
        <v>220.46999999999997</v>
      </c>
      <c r="E27" s="1535"/>
      <c r="F27" s="346">
        <v>0</v>
      </c>
      <c r="G27" s="91">
        <v>31.166633300000001</v>
      </c>
      <c r="H27" s="91">
        <f>D27+F27-G27</f>
        <v>189.30336669999997</v>
      </c>
      <c r="I27" s="91">
        <v>7.0236026999999996</v>
      </c>
      <c r="K27" s="1534"/>
    </row>
    <row r="28" spans="2:19" hidden="1">
      <c r="B28" s="346">
        <v>3</v>
      </c>
      <c r="C28" s="346" t="s">
        <v>379</v>
      </c>
      <c r="D28" s="91">
        <f>H19</f>
        <v>1140.92</v>
      </c>
      <c r="E28" s="1532"/>
      <c r="F28" s="91">
        <v>491.18374549999999</v>
      </c>
      <c r="G28" s="91">
        <v>4.6751958</v>
      </c>
      <c r="H28" s="91">
        <f>D28+F28-G28</f>
        <v>1627.4285497000001</v>
      </c>
      <c r="I28" s="91">
        <v>76.241622500000005</v>
      </c>
      <c r="K28" s="1534"/>
    </row>
    <row r="29" spans="2:19" hidden="1">
      <c r="B29" s="346"/>
      <c r="C29" s="346"/>
      <c r="D29" s="530">
        <f>SUM(D26:D28)</f>
        <v>1623.24</v>
      </c>
      <c r="E29" s="346"/>
      <c r="F29" s="530">
        <f>SUM(F26:F28)</f>
        <v>491.18374549999999</v>
      </c>
      <c r="G29" s="530">
        <f>SUM(G26:G28)</f>
        <v>55.6978291</v>
      </c>
      <c r="H29" s="530">
        <f>SUM(H26:H28)</f>
        <v>2058.7259164000002</v>
      </c>
      <c r="I29" s="530">
        <f>SUM(I26:I28)</f>
        <v>96.903279600000005</v>
      </c>
    </row>
    <row r="30" spans="2:19" hidden="1">
      <c r="B30" s="346"/>
      <c r="C30" s="2566" t="s">
        <v>2623</v>
      </c>
      <c r="D30" s="2560"/>
      <c r="E30" s="2560"/>
      <c r="F30" s="2560"/>
      <c r="G30" s="2560"/>
      <c r="H30" s="2561"/>
      <c r="I30" s="91">
        <v>0</v>
      </c>
    </row>
    <row r="31" spans="2:19" hidden="1">
      <c r="B31" s="346"/>
      <c r="C31" s="2566" t="s">
        <v>197</v>
      </c>
      <c r="D31" s="2560"/>
      <c r="E31" s="2560"/>
      <c r="F31" s="2560"/>
      <c r="G31" s="2560"/>
      <c r="H31" s="2561"/>
      <c r="I31" s="530">
        <f>I29-I30</f>
        <v>96.903279600000005</v>
      </c>
    </row>
    <row r="32" spans="2:19" ht="31.5" hidden="1" customHeight="1">
      <c r="B32" s="2567" t="s">
        <v>1387</v>
      </c>
      <c r="C32" s="2567"/>
      <c r="D32" s="2567"/>
      <c r="E32" s="2567"/>
      <c r="F32" s="2567"/>
      <c r="G32" s="2567"/>
      <c r="H32" s="2567"/>
      <c r="I32" s="2567"/>
    </row>
    <row r="33" spans="2:12" ht="16.5" hidden="1">
      <c r="B33" s="1540"/>
      <c r="C33" s="1540"/>
    </row>
    <row r="34" spans="2:12" hidden="1"/>
    <row r="36" spans="2:12" ht="16.5" thickBot="1">
      <c r="B36" s="147" t="s">
        <v>1752</v>
      </c>
      <c r="H36" s="2559" t="s">
        <v>97</v>
      </c>
      <c r="I36" s="2559"/>
    </row>
    <row r="37" spans="2:12" ht="47.25">
      <c r="B37" s="2149" t="s">
        <v>389</v>
      </c>
      <c r="C37" s="2150" t="s">
        <v>435</v>
      </c>
      <c r="D37" s="2150" t="s">
        <v>436</v>
      </c>
      <c r="E37" s="2150" t="s">
        <v>437</v>
      </c>
      <c r="F37" s="2150" t="s">
        <v>438</v>
      </c>
      <c r="G37" s="2150" t="s">
        <v>439</v>
      </c>
      <c r="H37" s="2150" t="s">
        <v>411</v>
      </c>
      <c r="I37" s="2142" t="s">
        <v>183</v>
      </c>
    </row>
    <row r="38" spans="2:12">
      <c r="B38" s="585">
        <v>1</v>
      </c>
      <c r="C38" s="346" t="s">
        <v>1341</v>
      </c>
      <c r="D38" s="91">
        <f>OBC!S16/10^7+'SBOP-MTL'!H3/10^7</f>
        <v>261.84285699999998</v>
      </c>
      <c r="E38" s="1532"/>
      <c r="F38" s="346">
        <v>0</v>
      </c>
      <c r="G38" s="91">
        <f>OBC!$R$32/10^7+'SBOP-MTL'!$G$16/10^7</f>
        <v>68.283428599999993</v>
      </c>
      <c r="H38" s="91">
        <f>D38+F38-G38</f>
        <v>193.5594284</v>
      </c>
      <c r="I38" s="82">
        <f>OBC!T32/10^7+'SBOP-MTL'!I16/10^7</f>
        <v>26.040172900000002</v>
      </c>
    </row>
    <row r="39" spans="2:12">
      <c r="B39" s="585">
        <v>2</v>
      </c>
      <c r="C39" s="346" t="s">
        <v>378</v>
      </c>
      <c r="D39" s="91">
        <f>LIC!D23/10^7</f>
        <v>220.46643370000001</v>
      </c>
      <c r="E39" s="1535"/>
      <c r="F39" s="346">
        <v>0</v>
      </c>
      <c r="G39" s="91">
        <f>LIC!$J$23/10^7</f>
        <v>40.916633300000001</v>
      </c>
      <c r="H39" s="91">
        <f>D39+F39-G39</f>
        <v>179.54980040000001</v>
      </c>
      <c r="I39" s="82">
        <f>LIC!O23/10^7</f>
        <v>21.547519875500001</v>
      </c>
    </row>
    <row r="40" spans="2:12">
      <c r="B40" s="585">
        <v>3</v>
      </c>
      <c r="C40" s="576" t="s">
        <v>2757</v>
      </c>
      <c r="D40" s="91">
        <f>D28</f>
        <v>1140.92</v>
      </c>
      <c r="E40" s="1532"/>
      <c r="F40" s="91">
        <f>'Funding Pattern'!G7</f>
        <v>1060.1348156684851</v>
      </c>
      <c r="G40" s="91">
        <f>'[11]REC-Total'!$G$7/10^7</f>
        <v>36.4970924</v>
      </c>
      <c r="H40" s="91">
        <f>D40+F40-G40</f>
        <v>2164.5577232684855</v>
      </c>
      <c r="I40" s="82">
        <f>(D40*J19)+(F40/2*Interest_Rate_for_REC)</f>
        <v>193.77579565535501</v>
      </c>
    </row>
    <row r="41" spans="2:12">
      <c r="B41" s="585"/>
      <c r="C41" s="346"/>
      <c r="D41" s="91"/>
      <c r="E41" s="1532"/>
      <c r="F41" s="91"/>
      <c r="G41" s="91"/>
      <c r="H41" s="91"/>
      <c r="I41" s="82"/>
    </row>
    <row r="42" spans="2:12">
      <c r="B42" s="585"/>
      <c r="C42" s="346"/>
      <c r="D42" s="530">
        <f>SUM(D38:D40)</f>
        <v>1623.2292907000001</v>
      </c>
      <c r="E42" s="346"/>
      <c r="F42" s="530">
        <f>SUM(F38:F40)</f>
        <v>1060.1348156684851</v>
      </c>
      <c r="G42" s="530">
        <f>SUM(G38:G40)</f>
        <v>145.69715429999999</v>
      </c>
      <c r="H42" s="530">
        <f>SUM(H38:H40)</f>
        <v>2537.6669520684854</v>
      </c>
      <c r="I42" s="533">
        <f>SUM(I38:I40)</f>
        <v>241.363488430855</v>
      </c>
      <c r="L42" s="1534"/>
    </row>
    <row r="43" spans="2:12">
      <c r="B43" s="585"/>
      <c r="C43" s="2564" t="s">
        <v>2623</v>
      </c>
      <c r="D43" s="2564"/>
      <c r="E43" s="2564"/>
      <c r="F43" s="2564"/>
      <c r="G43" s="2564"/>
      <c r="H43" s="2564"/>
      <c r="I43" s="82">
        <f>'F21'!G29</f>
        <v>40</v>
      </c>
    </row>
    <row r="44" spans="2:12" ht="16.5" thickBot="1">
      <c r="B44" s="588"/>
      <c r="C44" s="2568" t="s">
        <v>197</v>
      </c>
      <c r="D44" s="2568"/>
      <c r="E44" s="2568"/>
      <c r="F44" s="2568"/>
      <c r="G44" s="2568"/>
      <c r="H44" s="2568"/>
      <c r="I44" s="1481">
        <f>I42-I43</f>
        <v>201.363488430855</v>
      </c>
      <c r="L44" s="1530"/>
    </row>
    <row r="45" spans="2:12">
      <c r="L45" s="1534"/>
    </row>
    <row r="47" spans="2:12" ht="16.5" thickBot="1">
      <c r="B47" s="147" t="s">
        <v>2590</v>
      </c>
      <c r="H47" s="2559" t="s">
        <v>97</v>
      </c>
      <c r="I47" s="2559"/>
    </row>
    <row r="48" spans="2:12" ht="66.75" customHeight="1" thickBot="1">
      <c r="B48" s="2151" t="s">
        <v>389</v>
      </c>
      <c r="C48" s="2152" t="s">
        <v>435</v>
      </c>
      <c r="D48" s="2153" t="s">
        <v>436</v>
      </c>
      <c r="E48" s="2153" t="s">
        <v>437</v>
      </c>
      <c r="F48" s="2153" t="s">
        <v>438</v>
      </c>
      <c r="G48" s="2153" t="s">
        <v>439</v>
      </c>
      <c r="H48" s="2153" t="s">
        <v>411</v>
      </c>
      <c r="I48" s="2154" t="s">
        <v>183</v>
      </c>
    </row>
    <row r="49" spans="2:9">
      <c r="B49" s="1560">
        <v>1</v>
      </c>
      <c r="C49" s="1559" t="s">
        <v>1341</v>
      </c>
      <c r="D49" s="1556">
        <f>OBC!S32/10^7+'SBOP-MTL'!L3/10^7</f>
        <v>193.5594284</v>
      </c>
      <c r="E49" s="1558"/>
      <c r="F49" s="1557">
        <v>0</v>
      </c>
      <c r="G49" s="1556">
        <f>OBC!$R$48/10^7+'SBOP-MTL'!$K$16/10^7</f>
        <v>68.283428400000005</v>
      </c>
      <c r="H49" s="1556">
        <f>D49+F49-G49</f>
        <v>125.276</v>
      </c>
      <c r="I49" s="1555">
        <f>OBC!T48/10^7+'SBOP-MTL'!M16/10^7</f>
        <v>18.376081200000002</v>
      </c>
    </row>
    <row r="50" spans="2:9">
      <c r="B50" s="528">
        <v>2</v>
      </c>
      <c r="C50" s="576" t="s">
        <v>378</v>
      </c>
      <c r="D50" s="91">
        <f>LIC!D30/10^7</f>
        <v>179.54980040000001</v>
      </c>
      <c r="E50" s="1535"/>
      <c r="F50" s="346">
        <v>0</v>
      </c>
      <c r="G50" s="91">
        <f>LIC!$J$30/10^7</f>
        <v>40.916633300000001</v>
      </c>
      <c r="H50" s="91">
        <f>D50+F50-G50</f>
        <v>138.63316710000001</v>
      </c>
      <c r="I50" s="82">
        <f>LIC!O30/10^7</f>
        <v>17.0991542125</v>
      </c>
    </row>
    <row r="51" spans="2:9">
      <c r="B51" s="528">
        <v>3</v>
      </c>
      <c r="C51" s="576" t="s">
        <v>2757</v>
      </c>
      <c r="D51" s="91">
        <f>H40</f>
        <v>2164.5577232684855</v>
      </c>
      <c r="E51" s="1532"/>
      <c r="F51" s="91">
        <f>'Funding Pattern'!H7</f>
        <v>981.58327759898464</v>
      </c>
      <c r="G51" s="91">
        <f>'[11]REC-Total'!$K$7/10^7</f>
        <v>40.837324899999999</v>
      </c>
      <c r="H51" s="91">
        <f>D51+F51-G51</f>
        <v>3105.3036759674701</v>
      </c>
      <c r="I51" s="82">
        <f>AVERAGE(D51,H51)*Interest_Rate_for_REC</f>
        <v>329.36633745224719</v>
      </c>
    </row>
    <row r="52" spans="2:9">
      <c r="B52" s="528"/>
      <c r="C52" s="576"/>
      <c r="D52" s="530">
        <f>SUM(D49:D51)</f>
        <v>2537.6669520684854</v>
      </c>
      <c r="E52" s="346"/>
      <c r="F52" s="530">
        <f>SUM(F49:F51)</f>
        <v>981.58327759898464</v>
      </c>
      <c r="G52" s="530">
        <f>SUM(G49:G51)</f>
        <v>150.03738659999999</v>
      </c>
      <c r="H52" s="530">
        <f>SUM(H49:H51)</f>
        <v>3369.2128430674702</v>
      </c>
      <c r="I52" s="533">
        <f>SUM(I49:I51)</f>
        <v>364.84157286474721</v>
      </c>
    </row>
    <row r="53" spans="2:9">
      <c r="B53" s="528"/>
      <c r="C53" s="2560" t="s">
        <v>2623</v>
      </c>
      <c r="D53" s="2560"/>
      <c r="E53" s="2560"/>
      <c r="F53" s="2560"/>
      <c r="G53" s="2560"/>
      <c r="H53" s="2561"/>
      <c r="I53" s="82">
        <f>'F21'!H29</f>
        <v>10</v>
      </c>
    </row>
    <row r="54" spans="2:9" ht="16.5" thickBot="1">
      <c r="B54" s="529"/>
      <c r="C54" s="2562" t="s">
        <v>197</v>
      </c>
      <c r="D54" s="2562"/>
      <c r="E54" s="2562"/>
      <c r="F54" s="2562"/>
      <c r="G54" s="2562"/>
      <c r="H54" s="2563"/>
      <c r="I54" s="1481">
        <f>I52-I53</f>
        <v>354.84157286474721</v>
      </c>
    </row>
  </sheetData>
  <mergeCells count="17">
    <mergeCell ref="B2:I2"/>
    <mergeCell ref="B3:I3"/>
    <mergeCell ref="C22:H22"/>
    <mergeCell ref="B4:I4"/>
    <mergeCell ref="H15:I15"/>
    <mergeCell ref="C21:H21"/>
    <mergeCell ref="D5:F5"/>
    <mergeCell ref="H47:I47"/>
    <mergeCell ref="C53:H53"/>
    <mergeCell ref="C54:H54"/>
    <mergeCell ref="C43:H43"/>
    <mergeCell ref="H24:I24"/>
    <mergeCell ref="C30:H30"/>
    <mergeCell ref="C31:H31"/>
    <mergeCell ref="B32:I32"/>
    <mergeCell ref="H36:I36"/>
    <mergeCell ref="C44:H44"/>
  </mergeCells>
  <printOptions horizontalCentered="1"/>
  <pageMargins left="0.7" right="0.7" top="0.75" bottom="0.75" header="0.3" footer="0.3"/>
  <pageSetup paperSize="9" firstPageNumber="16" orientation="landscape" useFirstPageNumber="1" r:id="rId1"/>
  <headerFooter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8"/>
  <sheetViews>
    <sheetView tabSelected="1" view="pageBreakPreview" zoomScale="60" zoomScaleNormal="69" workbookViewId="0">
      <selection activeCell="P49" sqref="P49"/>
    </sheetView>
  </sheetViews>
  <sheetFormatPr defaultRowHeight="15.75"/>
  <cols>
    <col min="1" max="1" width="9.140625" style="1"/>
    <col min="2" max="2" width="15.42578125" style="1" customWidth="1"/>
    <col min="3" max="3" width="29.7109375" style="1" customWidth="1"/>
    <col min="4" max="4" width="15.28515625" style="1" customWidth="1"/>
    <col min="5" max="5" width="12" style="1" bestFit="1" customWidth="1"/>
    <col min="6" max="6" width="13.140625" style="1" customWidth="1"/>
    <col min="7" max="7" width="15.42578125" style="1" customWidth="1"/>
    <col min="8" max="8" width="13.140625" style="1" customWidth="1"/>
    <col min="9" max="9" width="14" style="1" customWidth="1"/>
    <col min="10" max="10" width="11.7109375" style="1" customWidth="1"/>
    <col min="11" max="11" width="12.5703125" style="1" bestFit="1" customWidth="1"/>
    <col min="12" max="12" width="9.140625" style="1"/>
    <col min="13" max="13" width="11.85546875" style="1" bestFit="1" customWidth="1"/>
    <col min="14" max="15" width="0" style="1" hidden="1" customWidth="1"/>
    <col min="16" max="16" width="10.7109375" style="1" customWidth="1"/>
    <col min="17" max="257" width="9.140625" style="1"/>
    <col min="258" max="258" width="7.140625" style="1" bestFit="1" customWidth="1"/>
    <col min="259" max="259" width="18.42578125" style="1" bestFit="1" customWidth="1"/>
    <col min="260" max="260" width="15.28515625" style="1" customWidth="1"/>
    <col min="261" max="261" width="12" style="1" bestFit="1" customWidth="1"/>
    <col min="262" max="262" width="13.140625" style="1" customWidth="1"/>
    <col min="263" max="263" width="14" style="1" customWidth="1"/>
    <col min="264" max="264" width="12.140625" style="1" customWidth="1"/>
    <col min="265" max="265" width="14" style="1" customWidth="1"/>
    <col min="266" max="266" width="11.7109375" style="1" customWidth="1"/>
    <col min="267" max="269" width="9.140625" style="1"/>
    <col min="270" max="271" width="0" style="1" hidden="1" customWidth="1"/>
    <col min="272" max="513" width="9.140625" style="1"/>
    <col min="514" max="514" width="7.140625" style="1" bestFit="1" customWidth="1"/>
    <col min="515" max="515" width="18.42578125" style="1" bestFit="1" customWidth="1"/>
    <col min="516" max="516" width="15.28515625" style="1" customWidth="1"/>
    <col min="517" max="517" width="12" style="1" bestFit="1" customWidth="1"/>
    <col min="518" max="518" width="13.140625" style="1" customWidth="1"/>
    <col min="519" max="519" width="14" style="1" customWidth="1"/>
    <col min="520" max="520" width="12.140625" style="1" customWidth="1"/>
    <col min="521" max="521" width="14" style="1" customWidth="1"/>
    <col min="522" max="522" width="11.7109375" style="1" customWidth="1"/>
    <col min="523" max="525" width="9.140625" style="1"/>
    <col min="526" max="527" width="0" style="1" hidden="1" customWidth="1"/>
    <col min="528" max="769" width="9.140625" style="1"/>
    <col min="770" max="770" width="7.140625" style="1" bestFit="1" customWidth="1"/>
    <col min="771" max="771" width="18.42578125" style="1" bestFit="1" customWidth="1"/>
    <col min="772" max="772" width="15.28515625" style="1" customWidth="1"/>
    <col min="773" max="773" width="12" style="1" bestFit="1" customWidth="1"/>
    <col min="774" max="774" width="13.140625" style="1" customWidth="1"/>
    <col min="775" max="775" width="14" style="1" customWidth="1"/>
    <col min="776" max="776" width="12.140625" style="1" customWidth="1"/>
    <col min="777" max="777" width="14" style="1" customWidth="1"/>
    <col min="778" max="778" width="11.7109375" style="1" customWidth="1"/>
    <col min="779" max="781" width="9.140625" style="1"/>
    <col min="782" max="783" width="0" style="1" hidden="1" customWidth="1"/>
    <col min="784" max="1025" width="9.140625" style="1"/>
    <col min="1026" max="1026" width="7.140625" style="1" bestFit="1" customWidth="1"/>
    <col min="1027" max="1027" width="18.42578125" style="1" bestFit="1" customWidth="1"/>
    <col min="1028" max="1028" width="15.28515625" style="1" customWidth="1"/>
    <col min="1029" max="1029" width="12" style="1" bestFit="1" customWidth="1"/>
    <col min="1030" max="1030" width="13.140625" style="1" customWidth="1"/>
    <col min="1031" max="1031" width="14" style="1" customWidth="1"/>
    <col min="1032" max="1032" width="12.140625" style="1" customWidth="1"/>
    <col min="1033" max="1033" width="14" style="1" customWidth="1"/>
    <col min="1034" max="1034" width="11.7109375" style="1" customWidth="1"/>
    <col min="1035" max="1037" width="9.140625" style="1"/>
    <col min="1038" max="1039" width="0" style="1" hidden="1" customWidth="1"/>
    <col min="1040" max="1281" width="9.140625" style="1"/>
    <col min="1282" max="1282" width="7.140625" style="1" bestFit="1" customWidth="1"/>
    <col min="1283" max="1283" width="18.42578125" style="1" bestFit="1" customWidth="1"/>
    <col min="1284" max="1284" width="15.28515625" style="1" customWidth="1"/>
    <col min="1285" max="1285" width="12" style="1" bestFit="1" customWidth="1"/>
    <col min="1286" max="1286" width="13.140625" style="1" customWidth="1"/>
    <col min="1287" max="1287" width="14" style="1" customWidth="1"/>
    <col min="1288" max="1288" width="12.140625" style="1" customWidth="1"/>
    <col min="1289" max="1289" width="14" style="1" customWidth="1"/>
    <col min="1290" max="1290" width="11.7109375" style="1" customWidth="1"/>
    <col min="1291" max="1293" width="9.140625" style="1"/>
    <col min="1294" max="1295" width="0" style="1" hidden="1" customWidth="1"/>
    <col min="1296" max="1537" width="9.140625" style="1"/>
    <col min="1538" max="1538" width="7.140625" style="1" bestFit="1" customWidth="1"/>
    <col min="1539" max="1539" width="18.42578125" style="1" bestFit="1" customWidth="1"/>
    <col min="1540" max="1540" width="15.28515625" style="1" customWidth="1"/>
    <col min="1541" max="1541" width="12" style="1" bestFit="1" customWidth="1"/>
    <col min="1542" max="1542" width="13.140625" style="1" customWidth="1"/>
    <col min="1543" max="1543" width="14" style="1" customWidth="1"/>
    <col min="1544" max="1544" width="12.140625" style="1" customWidth="1"/>
    <col min="1545" max="1545" width="14" style="1" customWidth="1"/>
    <col min="1546" max="1546" width="11.7109375" style="1" customWidth="1"/>
    <col min="1547" max="1549" width="9.140625" style="1"/>
    <col min="1550" max="1551" width="0" style="1" hidden="1" customWidth="1"/>
    <col min="1552" max="1793" width="9.140625" style="1"/>
    <col min="1794" max="1794" width="7.140625" style="1" bestFit="1" customWidth="1"/>
    <col min="1795" max="1795" width="18.42578125" style="1" bestFit="1" customWidth="1"/>
    <col min="1796" max="1796" width="15.28515625" style="1" customWidth="1"/>
    <col min="1797" max="1797" width="12" style="1" bestFit="1" customWidth="1"/>
    <col min="1798" max="1798" width="13.140625" style="1" customWidth="1"/>
    <col min="1799" max="1799" width="14" style="1" customWidth="1"/>
    <col min="1800" max="1800" width="12.140625" style="1" customWidth="1"/>
    <col min="1801" max="1801" width="14" style="1" customWidth="1"/>
    <col min="1802" max="1802" width="11.7109375" style="1" customWidth="1"/>
    <col min="1803" max="1805" width="9.140625" style="1"/>
    <col min="1806" max="1807" width="0" style="1" hidden="1" customWidth="1"/>
    <col min="1808" max="2049" width="9.140625" style="1"/>
    <col min="2050" max="2050" width="7.140625" style="1" bestFit="1" customWidth="1"/>
    <col min="2051" max="2051" width="18.42578125" style="1" bestFit="1" customWidth="1"/>
    <col min="2052" max="2052" width="15.28515625" style="1" customWidth="1"/>
    <col min="2053" max="2053" width="12" style="1" bestFit="1" customWidth="1"/>
    <col min="2054" max="2054" width="13.140625" style="1" customWidth="1"/>
    <col min="2055" max="2055" width="14" style="1" customWidth="1"/>
    <col min="2056" max="2056" width="12.140625" style="1" customWidth="1"/>
    <col min="2057" max="2057" width="14" style="1" customWidth="1"/>
    <col min="2058" max="2058" width="11.7109375" style="1" customWidth="1"/>
    <col min="2059" max="2061" width="9.140625" style="1"/>
    <col min="2062" max="2063" width="0" style="1" hidden="1" customWidth="1"/>
    <col min="2064" max="2305" width="9.140625" style="1"/>
    <col min="2306" max="2306" width="7.140625" style="1" bestFit="1" customWidth="1"/>
    <col min="2307" max="2307" width="18.42578125" style="1" bestFit="1" customWidth="1"/>
    <col min="2308" max="2308" width="15.28515625" style="1" customWidth="1"/>
    <col min="2309" max="2309" width="12" style="1" bestFit="1" customWidth="1"/>
    <col min="2310" max="2310" width="13.140625" style="1" customWidth="1"/>
    <col min="2311" max="2311" width="14" style="1" customWidth="1"/>
    <col min="2312" max="2312" width="12.140625" style="1" customWidth="1"/>
    <col min="2313" max="2313" width="14" style="1" customWidth="1"/>
    <col min="2314" max="2314" width="11.7109375" style="1" customWidth="1"/>
    <col min="2315" max="2317" width="9.140625" style="1"/>
    <col min="2318" max="2319" width="0" style="1" hidden="1" customWidth="1"/>
    <col min="2320" max="2561" width="9.140625" style="1"/>
    <col min="2562" max="2562" width="7.140625" style="1" bestFit="1" customWidth="1"/>
    <col min="2563" max="2563" width="18.42578125" style="1" bestFit="1" customWidth="1"/>
    <col min="2564" max="2564" width="15.28515625" style="1" customWidth="1"/>
    <col min="2565" max="2565" width="12" style="1" bestFit="1" customWidth="1"/>
    <col min="2566" max="2566" width="13.140625" style="1" customWidth="1"/>
    <col min="2567" max="2567" width="14" style="1" customWidth="1"/>
    <col min="2568" max="2568" width="12.140625" style="1" customWidth="1"/>
    <col min="2569" max="2569" width="14" style="1" customWidth="1"/>
    <col min="2570" max="2570" width="11.7109375" style="1" customWidth="1"/>
    <col min="2571" max="2573" width="9.140625" style="1"/>
    <col min="2574" max="2575" width="0" style="1" hidden="1" customWidth="1"/>
    <col min="2576" max="2817" width="9.140625" style="1"/>
    <col min="2818" max="2818" width="7.140625" style="1" bestFit="1" customWidth="1"/>
    <col min="2819" max="2819" width="18.42578125" style="1" bestFit="1" customWidth="1"/>
    <col min="2820" max="2820" width="15.28515625" style="1" customWidth="1"/>
    <col min="2821" max="2821" width="12" style="1" bestFit="1" customWidth="1"/>
    <col min="2822" max="2822" width="13.140625" style="1" customWidth="1"/>
    <col min="2823" max="2823" width="14" style="1" customWidth="1"/>
    <col min="2824" max="2824" width="12.140625" style="1" customWidth="1"/>
    <col min="2825" max="2825" width="14" style="1" customWidth="1"/>
    <col min="2826" max="2826" width="11.7109375" style="1" customWidth="1"/>
    <col min="2827" max="2829" width="9.140625" style="1"/>
    <col min="2830" max="2831" width="0" style="1" hidden="1" customWidth="1"/>
    <col min="2832" max="3073" width="9.140625" style="1"/>
    <col min="3074" max="3074" width="7.140625" style="1" bestFit="1" customWidth="1"/>
    <col min="3075" max="3075" width="18.42578125" style="1" bestFit="1" customWidth="1"/>
    <col min="3076" max="3076" width="15.28515625" style="1" customWidth="1"/>
    <col min="3077" max="3077" width="12" style="1" bestFit="1" customWidth="1"/>
    <col min="3078" max="3078" width="13.140625" style="1" customWidth="1"/>
    <col min="3079" max="3079" width="14" style="1" customWidth="1"/>
    <col min="3080" max="3080" width="12.140625" style="1" customWidth="1"/>
    <col min="3081" max="3081" width="14" style="1" customWidth="1"/>
    <col min="3082" max="3082" width="11.7109375" style="1" customWidth="1"/>
    <col min="3083" max="3085" width="9.140625" style="1"/>
    <col min="3086" max="3087" width="0" style="1" hidden="1" customWidth="1"/>
    <col min="3088" max="3329" width="9.140625" style="1"/>
    <col min="3330" max="3330" width="7.140625" style="1" bestFit="1" customWidth="1"/>
    <col min="3331" max="3331" width="18.42578125" style="1" bestFit="1" customWidth="1"/>
    <col min="3332" max="3332" width="15.28515625" style="1" customWidth="1"/>
    <col min="3333" max="3333" width="12" style="1" bestFit="1" customWidth="1"/>
    <col min="3334" max="3334" width="13.140625" style="1" customWidth="1"/>
    <col min="3335" max="3335" width="14" style="1" customWidth="1"/>
    <col min="3336" max="3336" width="12.140625" style="1" customWidth="1"/>
    <col min="3337" max="3337" width="14" style="1" customWidth="1"/>
    <col min="3338" max="3338" width="11.7109375" style="1" customWidth="1"/>
    <col min="3339" max="3341" width="9.140625" style="1"/>
    <col min="3342" max="3343" width="0" style="1" hidden="1" customWidth="1"/>
    <col min="3344" max="3585" width="9.140625" style="1"/>
    <col min="3586" max="3586" width="7.140625" style="1" bestFit="1" customWidth="1"/>
    <col min="3587" max="3587" width="18.42578125" style="1" bestFit="1" customWidth="1"/>
    <col min="3588" max="3588" width="15.28515625" style="1" customWidth="1"/>
    <col min="3589" max="3589" width="12" style="1" bestFit="1" customWidth="1"/>
    <col min="3590" max="3590" width="13.140625" style="1" customWidth="1"/>
    <col min="3591" max="3591" width="14" style="1" customWidth="1"/>
    <col min="3592" max="3592" width="12.140625" style="1" customWidth="1"/>
    <col min="3593" max="3593" width="14" style="1" customWidth="1"/>
    <col min="3594" max="3594" width="11.7109375" style="1" customWidth="1"/>
    <col min="3595" max="3597" width="9.140625" style="1"/>
    <col min="3598" max="3599" width="0" style="1" hidden="1" customWidth="1"/>
    <col min="3600" max="3841" width="9.140625" style="1"/>
    <col min="3842" max="3842" width="7.140625" style="1" bestFit="1" customWidth="1"/>
    <col min="3843" max="3843" width="18.42578125" style="1" bestFit="1" customWidth="1"/>
    <col min="3844" max="3844" width="15.28515625" style="1" customWidth="1"/>
    <col min="3845" max="3845" width="12" style="1" bestFit="1" customWidth="1"/>
    <col min="3846" max="3846" width="13.140625" style="1" customWidth="1"/>
    <col min="3847" max="3847" width="14" style="1" customWidth="1"/>
    <col min="3848" max="3848" width="12.140625" style="1" customWidth="1"/>
    <col min="3849" max="3849" width="14" style="1" customWidth="1"/>
    <col min="3850" max="3850" width="11.7109375" style="1" customWidth="1"/>
    <col min="3851" max="3853" width="9.140625" style="1"/>
    <col min="3854" max="3855" width="0" style="1" hidden="1" customWidth="1"/>
    <col min="3856" max="4097" width="9.140625" style="1"/>
    <col min="4098" max="4098" width="7.140625" style="1" bestFit="1" customWidth="1"/>
    <col min="4099" max="4099" width="18.42578125" style="1" bestFit="1" customWidth="1"/>
    <col min="4100" max="4100" width="15.28515625" style="1" customWidth="1"/>
    <col min="4101" max="4101" width="12" style="1" bestFit="1" customWidth="1"/>
    <col min="4102" max="4102" width="13.140625" style="1" customWidth="1"/>
    <col min="4103" max="4103" width="14" style="1" customWidth="1"/>
    <col min="4104" max="4104" width="12.140625" style="1" customWidth="1"/>
    <col min="4105" max="4105" width="14" style="1" customWidth="1"/>
    <col min="4106" max="4106" width="11.7109375" style="1" customWidth="1"/>
    <col min="4107" max="4109" width="9.140625" style="1"/>
    <col min="4110" max="4111" width="0" style="1" hidden="1" customWidth="1"/>
    <col min="4112" max="4353" width="9.140625" style="1"/>
    <col min="4354" max="4354" width="7.140625" style="1" bestFit="1" customWidth="1"/>
    <col min="4355" max="4355" width="18.42578125" style="1" bestFit="1" customWidth="1"/>
    <col min="4356" max="4356" width="15.28515625" style="1" customWidth="1"/>
    <col min="4357" max="4357" width="12" style="1" bestFit="1" customWidth="1"/>
    <col min="4358" max="4358" width="13.140625" style="1" customWidth="1"/>
    <col min="4359" max="4359" width="14" style="1" customWidth="1"/>
    <col min="4360" max="4360" width="12.140625" style="1" customWidth="1"/>
    <col min="4361" max="4361" width="14" style="1" customWidth="1"/>
    <col min="4362" max="4362" width="11.7109375" style="1" customWidth="1"/>
    <col min="4363" max="4365" width="9.140625" style="1"/>
    <col min="4366" max="4367" width="0" style="1" hidden="1" customWidth="1"/>
    <col min="4368" max="4609" width="9.140625" style="1"/>
    <col min="4610" max="4610" width="7.140625" style="1" bestFit="1" customWidth="1"/>
    <col min="4611" max="4611" width="18.42578125" style="1" bestFit="1" customWidth="1"/>
    <col min="4612" max="4612" width="15.28515625" style="1" customWidth="1"/>
    <col min="4613" max="4613" width="12" style="1" bestFit="1" customWidth="1"/>
    <col min="4614" max="4614" width="13.140625" style="1" customWidth="1"/>
    <col min="4615" max="4615" width="14" style="1" customWidth="1"/>
    <col min="4616" max="4616" width="12.140625" style="1" customWidth="1"/>
    <col min="4617" max="4617" width="14" style="1" customWidth="1"/>
    <col min="4618" max="4618" width="11.7109375" style="1" customWidth="1"/>
    <col min="4619" max="4621" width="9.140625" style="1"/>
    <col min="4622" max="4623" width="0" style="1" hidden="1" customWidth="1"/>
    <col min="4624" max="4865" width="9.140625" style="1"/>
    <col min="4866" max="4866" width="7.140625" style="1" bestFit="1" customWidth="1"/>
    <col min="4867" max="4867" width="18.42578125" style="1" bestFit="1" customWidth="1"/>
    <col min="4868" max="4868" width="15.28515625" style="1" customWidth="1"/>
    <col min="4869" max="4869" width="12" style="1" bestFit="1" customWidth="1"/>
    <col min="4870" max="4870" width="13.140625" style="1" customWidth="1"/>
    <col min="4871" max="4871" width="14" style="1" customWidth="1"/>
    <col min="4872" max="4872" width="12.140625" style="1" customWidth="1"/>
    <col min="4873" max="4873" width="14" style="1" customWidth="1"/>
    <col min="4874" max="4874" width="11.7109375" style="1" customWidth="1"/>
    <col min="4875" max="4877" width="9.140625" style="1"/>
    <col min="4878" max="4879" width="0" style="1" hidden="1" customWidth="1"/>
    <col min="4880" max="5121" width="9.140625" style="1"/>
    <col min="5122" max="5122" width="7.140625" style="1" bestFit="1" customWidth="1"/>
    <col min="5123" max="5123" width="18.42578125" style="1" bestFit="1" customWidth="1"/>
    <col min="5124" max="5124" width="15.28515625" style="1" customWidth="1"/>
    <col min="5125" max="5125" width="12" style="1" bestFit="1" customWidth="1"/>
    <col min="5126" max="5126" width="13.140625" style="1" customWidth="1"/>
    <col min="5127" max="5127" width="14" style="1" customWidth="1"/>
    <col min="5128" max="5128" width="12.140625" style="1" customWidth="1"/>
    <col min="5129" max="5129" width="14" style="1" customWidth="1"/>
    <col min="5130" max="5130" width="11.7109375" style="1" customWidth="1"/>
    <col min="5131" max="5133" width="9.140625" style="1"/>
    <col min="5134" max="5135" width="0" style="1" hidden="1" customWidth="1"/>
    <col min="5136" max="5377" width="9.140625" style="1"/>
    <col min="5378" max="5378" width="7.140625" style="1" bestFit="1" customWidth="1"/>
    <col min="5379" max="5379" width="18.42578125" style="1" bestFit="1" customWidth="1"/>
    <col min="5380" max="5380" width="15.28515625" style="1" customWidth="1"/>
    <col min="5381" max="5381" width="12" style="1" bestFit="1" customWidth="1"/>
    <col min="5382" max="5382" width="13.140625" style="1" customWidth="1"/>
    <col min="5383" max="5383" width="14" style="1" customWidth="1"/>
    <col min="5384" max="5384" width="12.140625" style="1" customWidth="1"/>
    <col min="5385" max="5385" width="14" style="1" customWidth="1"/>
    <col min="5386" max="5386" width="11.7109375" style="1" customWidth="1"/>
    <col min="5387" max="5389" width="9.140625" style="1"/>
    <col min="5390" max="5391" width="0" style="1" hidden="1" customWidth="1"/>
    <col min="5392" max="5633" width="9.140625" style="1"/>
    <col min="5634" max="5634" width="7.140625" style="1" bestFit="1" customWidth="1"/>
    <col min="5635" max="5635" width="18.42578125" style="1" bestFit="1" customWidth="1"/>
    <col min="5636" max="5636" width="15.28515625" style="1" customWidth="1"/>
    <col min="5637" max="5637" width="12" style="1" bestFit="1" customWidth="1"/>
    <col min="5638" max="5638" width="13.140625" style="1" customWidth="1"/>
    <col min="5639" max="5639" width="14" style="1" customWidth="1"/>
    <col min="5640" max="5640" width="12.140625" style="1" customWidth="1"/>
    <col min="5641" max="5641" width="14" style="1" customWidth="1"/>
    <col min="5642" max="5642" width="11.7109375" style="1" customWidth="1"/>
    <col min="5643" max="5645" width="9.140625" style="1"/>
    <col min="5646" max="5647" width="0" style="1" hidden="1" customWidth="1"/>
    <col min="5648" max="5889" width="9.140625" style="1"/>
    <col min="5890" max="5890" width="7.140625" style="1" bestFit="1" customWidth="1"/>
    <col min="5891" max="5891" width="18.42578125" style="1" bestFit="1" customWidth="1"/>
    <col min="5892" max="5892" width="15.28515625" style="1" customWidth="1"/>
    <col min="5893" max="5893" width="12" style="1" bestFit="1" customWidth="1"/>
    <col min="5894" max="5894" width="13.140625" style="1" customWidth="1"/>
    <col min="5895" max="5895" width="14" style="1" customWidth="1"/>
    <col min="5896" max="5896" width="12.140625" style="1" customWidth="1"/>
    <col min="5897" max="5897" width="14" style="1" customWidth="1"/>
    <col min="5898" max="5898" width="11.7109375" style="1" customWidth="1"/>
    <col min="5899" max="5901" width="9.140625" style="1"/>
    <col min="5902" max="5903" width="0" style="1" hidden="1" customWidth="1"/>
    <col min="5904" max="6145" width="9.140625" style="1"/>
    <col min="6146" max="6146" width="7.140625" style="1" bestFit="1" customWidth="1"/>
    <col min="6147" max="6147" width="18.42578125" style="1" bestFit="1" customWidth="1"/>
    <col min="6148" max="6148" width="15.28515625" style="1" customWidth="1"/>
    <col min="6149" max="6149" width="12" style="1" bestFit="1" customWidth="1"/>
    <col min="6150" max="6150" width="13.140625" style="1" customWidth="1"/>
    <col min="6151" max="6151" width="14" style="1" customWidth="1"/>
    <col min="6152" max="6152" width="12.140625" style="1" customWidth="1"/>
    <col min="6153" max="6153" width="14" style="1" customWidth="1"/>
    <col min="6154" max="6154" width="11.7109375" style="1" customWidth="1"/>
    <col min="6155" max="6157" width="9.140625" style="1"/>
    <col min="6158" max="6159" width="0" style="1" hidden="1" customWidth="1"/>
    <col min="6160" max="6401" width="9.140625" style="1"/>
    <col min="6402" max="6402" width="7.140625" style="1" bestFit="1" customWidth="1"/>
    <col min="6403" max="6403" width="18.42578125" style="1" bestFit="1" customWidth="1"/>
    <col min="6404" max="6404" width="15.28515625" style="1" customWidth="1"/>
    <col min="6405" max="6405" width="12" style="1" bestFit="1" customWidth="1"/>
    <col min="6406" max="6406" width="13.140625" style="1" customWidth="1"/>
    <col min="6407" max="6407" width="14" style="1" customWidth="1"/>
    <col min="6408" max="6408" width="12.140625" style="1" customWidth="1"/>
    <col min="6409" max="6409" width="14" style="1" customWidth="1"/>
    <col min="6410" max="6410" width="11.7109375" style="1" customWidth="1"/>
    <col min="6411" max="6413" width="9.140625" style="1"/>
    <col min="6414" max="6415" width="0" style="1" hidden="1" customWidth="1"/>
    <col min="6416" max="6657" width="9.140625" style="1"/>
    <col min="6658" max="6658" width="7.140625" style="1" bestFit="1" customWidth="1"/>
    <col min="6659" max="6659" width="18.42578125" style="1" bestFit="1" customWidth="1"/>
    <col min="6660" max="6660" width="15.28515625" style="1" customWidth="1"/>
    <col min="6661" max="6661" width="12" style="1" bestFit="1" customWidth="1"/>
    <col min="6662" max="6662" width="13.140625" style="1" customWidth="1"/>
    <col min="6663" max="6663" width="14" style="1" customWidth="1"/>
    <col min="6664" max="6664" width="12.140625" style="1" customWidth="1"/>
    <col min="6665" max="6665" width="14" style="1" customWidth="1"/>
    <col min="6666" max="6666" width="11.7109375" style="1" customWidth="1"/>
    <col min="6667" max="6669" width="9.140625" style="1"/>
    <col min="6670" max="6671" width="0" style="1" hidden="1" customWidth="1"/>
    <col min="6672" max="6913" width="9.140625" style="1"/>
    <col min="6914" max="6914" width="7.140625" style="1" bestFit="1" customWidth="1"/>
    <col min="6915" max="6915" width="18.42578125" style="1" bestFit="1" customWidth="1"/>
    <col min="6916" max="6916" width="15.28515625" style="1" customWidth="1"/>
    <col min="6917" max="6917" width="12" style="1" bestFit="1" customWidth="1"/>
    <col min="6918" max="6918" width="13.140625" style="1" customWidth="1"/>
    <col min="6919" max="6919" width="14" style="1" customWidth="1"/>
    <col min="6920" max="6920" width="12.140625" style="1" customWidth="1"/>
    <col min="6921" max="6921" width="14" style="1" customWidth="1"/>
    <col min="6922" max="6922" width="11.7109375" style="1" customWidth="1"/>
    <col min="6923" max="6925" width="9.140625" style="1"/>
    <col min="6926" max="6927" width="0" style="1" hidden="1" customWidth="1"/>
    <col min="6928" max="7169" width="9.140625" style="1"/>
    <col min="7170" max="7170" width="7.140625" style="1" bestFit="1" customWidth="1"/>
    <col min="7171" max="7171" width="18.42578125" style="1" bestFit="1" customWidth="1"/>
    <col min="7172" max="7172" width="15.28515625" style="1" customWidth="1"/>
    <col min="7173" max="7173" width="12" style="1" bestFit="1" customWidth="1"/>
    <col min="7174" max="7174" width="13.140625" style="1" customWidth="1"/>
    <col min="7175" max="7175" width="14" style="1" customWidth="1"/>
    <col min="7176" max="7176" width="12.140625" style="1" customWidth="1"/>
    <col min="7177" max="7177" width="14" style="1" customWidth="1"/>
    <col min="7178" max="7178" width="11.7109375" style="1" customWidth="1"/>
    <col min="7179" max="7181" width="9.140625" style="1"/>
    <col min="7182" max="7183" width="0" style="1" hidden="1" customWidth="1"/>
    <col min="7184" max="7425" width="9.140625" style="1"/>
    <col min="7426" max="7426" width="7.140625" style="1" bestFit="1" customWidth="1"/>
    <col min="7427" max="7427" width="18.42578125" style="1" bestFit="1" customWidth="1"/>
    <col min="7428" max="7428" width="15.28515625" style="1" customWidth="1"/>
    <col min="7429" max="7429" width="12" style="1" bestFit="1" customWidth="1"/>
    <col min="7430" max="7430" width="13.140625" style="1" customWidth="1"/>
    <col min="7431" max="7431" width="14" style="1" customWidth="1"/>
    <col min="7432" max="7432" width="12.140625" style="1" customWidth="1"/>
    <col min="7433" max="7433" width="14" style="1" customWidth="1"/>
    <col min="7434" max="7434" width="11.7109375" style="1" customWidth="1"/>
    <col min="7435" max="7437" width="9.140625" style="1"/>
    <col min="7438" max="7439" width="0" style="1" hidden="1" customWidth="1"/>
    <col min="7440" max="7681" width="9.140625" style="1"/>
    <col min="7682" max="7682" width="7.140625" style="1" bestFit="1" customWidth="1"/>
    <col min="7683" max="7683" width="18.42578125" style="1" bestFit="1" customWidth="1"/>
    <col min="7684" max="7684" width="15.28515625" style="1" customWidth="1"/>
    <col min="7685" max="7685" width="12" style="1" bestFit="1" customWidth="1"/>
    <col min="7686" max="7686" width="13.140625" style="1" customWidth="1"/>
    <col min="7687" max="7687" width="14" style="1" customWidth="1"/>
    <col min="7688" max="7688" width="12.140625" style="1" customWidth="1"/>
    <col min="7689" max="7689" width="14" style="1" customWidth="1"/>
    <col min="7690" max="7690" width="11.7109375" style="1" customWidth="1"/>
    <col min="7691" max="7693" width="9.140625" style="1"/>
    <col min="7694" max="7695" width="0" style="1" hidden="1" customWidth="1"/>
    <col min="7696" max="7937" width="9.140625" style="1"/>
    <col min="7938" max="7938" width="7.140625" style="1" bestFit="1" customWidth="1"/>
    <col min="7939" max="7939" width="18.42578125" style="1" bestFit="1" customWidth="1"/>
    <col min="7940" max="7940" width="15.28515625" style="1" customWidth="1"/>
    <col min="7941" max="7941" width="12" style="1" bestFit="1" customWidth="1"/>
    <col min="7942" max="7942" width="13.140625" style="1" customWidth="1"/>
    <col min="7943" max="7943" width="14" style="1" customWidth="1"/>
    <col min="7944" max="7944" width="12.140625" style="1" customWidth="1"/>
    <col min="7945" max="7945" width="14" style="1" customWidth="1"/>
    <col min="7946" max="7946" width="11.7109375" style="1" customWidth="1"/>
    <col min="7947" max="7949" width="9.140625" style="1"/>
    <col min="7950" max="7951" width="0" style="1" hidden="1" customWidth="1"/>
    <col min="7952" max="8193" width="9.140625" style="1"/>
    <col min="8194" max="8194" width="7.140625" style="1" bestFit="1" customWidth="1"/>
    <col min="8195" max="8195" width="18.42578125" style="1" bestFit="1" customWidth="1"/>
    <col min="8196" max="8196" width="15.28515625" style="1" customWidth="1"/>
    <col min="8197" max="8197" width="12" style="1" bestFit="1" customWidth="1"/>
    <col min="8198" max="8198" width="13.140625" style="1" customWidth="1"/>
    <col min="8199" max="8199" width="14" style="1" customWidth="1"/>
    <col min="8200" max="8200" width="12.140625" style="1" customWidth="1"/>
    <col min="8201" max="8201" width="14" style="1" customWidth="1"/>
    <col min="8202" max="8202" width="11.7109375" style="1" customWidth="1"/>
    <col min="8203" max="8205" width="9.140625" style="1"/>
    <col min="8206" max="8207" width="0" style="1" hidden="1" customWidth="1"/>
    <col min="8208" max="8449" width="9.140625" style="1"/>
    <col min="8450" max="8450" width="7.140625" style="1" bestFit="1" customWidth="1"/>
    <col min="8451" max="8451" width="18.42578125" style="1" bestFit="1" customWidth="1"/>
    <col min="8452" max="8452" width="15.28515625" style="1" customWidth="1"/>
    <col min="8453" max="8453" width="12" style="1" bestFit="1" customWidth="1"/>
    <col min="8454" max="8454" width="13.140625" style="1" customWidth="1"/>
    <col min="8455" max="8455" width="14" style="1" customWidth="1"/>
    <col min="8456" max="8456" width="12.140625" style="1" customWidth="1"/>
    <col min="8457" max="8457" width="14" style="1" customWidth="1"/>
    <col min="8458" max="8458" width="11.7109375" style="1" customWidth="1"/>
    <col min="8459" max="8461" width="9.140625" style="1"/>
    <col min="8462" max="8463" width="0" style="1" hidden="1" customWidth="1"/>
    <col min="8464" max="8705" width="9.140625" style="1"/>
    <col min="8706" max="8706" width="7.140625" style="1" bestFit="1" customWidth="1"/>
    <col min="8707" max="8707" width="18.42578125" style="1" bestFit="1" customWidth="1"/>
    <col min="8708" max="8708" width="15.28515625" style="1" customWidth="1"/>
    <col min="8709" max="8709" width="12" style="1" bestFit="1" customWidth="1"/>
    <col min="8710" max="8710" width="13.140625" style="1" customWidth="1"/>
    <col min="8711" max="8711" width="14" style="1" customWidth="1"/>
    <col min="8712" max="8712" width="12.140625" style="1" customWidth="1"/>
    <col min="8713" max="8713" width="14" style="1" customWidth="1"/>
    <col min="8714" max="8714" width="11.7109375" style="1" customWidth="1"/>
    <col min="8715" max="8717" width="9.140625" style="1"/>
    <col min="8718" max="8719" width="0" style="1" hidden="1" customWidth="1"/>
    <col min="8720" max="8961" width="9.140625" style="1"/>
    <col min="8962" max="8962" width="7.140625" style="1" bestFit="1" customWidth="1"/>
    <col min="8963" max="8963" width="18.42578125" style="1" bestFit="1" customWidth="1"/>
    <col min="8964" max="8964" width="15.28515625" style="1" customWidth="1"/>
    <col min="8965" max="8965" width="12" style="1" bestFit="1" customWidth="1"/>
    <col min="8966" max="8966" width="13.140625" style="1" customWidth="1"/>
    <col min="8967" max="8967" width="14" style="1" customWidth="1"/>
    <col min="8968" max="8968" width="12.140625" style="1" customWidth="1"/>
    <col min="8969" max="8969" width="14" style="1" customWidth="1"/>
    <col min="8970" max="8970" width="11.7109375" style="1" customWidth="1"/>
    <col min="8971" max="8973" width="9.140625" style="1"/>
    <col min="8974" max="8975" width="0" style="1" hidden="1" customWidth="1"/>
    <col min="8976" max="9217" width="9.140625" style="1"/>
    <col min="9218" max="9218" width="7.140625" style="1" bestFit="1" customWidth="1"/>
    <col min="9219" max="9219" width="18.42578125" style="1" bestFit="1" customWidth="1"/>
    <col min="9220" max="9220" width="15.28515625" style="1" customWidth="1"/>
    <col min="9221" max="9221" width="12" style="1" bestFit="1" customWidth="1"/>
    <col min="9222" max="9222" width="13.140625" style="1" customWidth="1"/>
    <col min="9223" max="9223" width="14" style="1" customWidth="1"/>
    <col min="9224" max="9224" width="12.140625" style="1" customWidth="1"/>
    <col min="9225" max="9225" width="14" style="1" customWidth="1"/>
    <col min="9226" max="9226" width="11.7109375" style="1" customWidth="1"/>
    <col min="9227" max="9229" width="9.140625" style="1"/>
    <col min="9230" max="9231" width="0" style="1" hidden="1" customWidth="1"/>
    <col min="9232" max="9473" width="9.140625" style="1"/>
    <col min="9474" max="9474" width="7.140625" style="1" bestFit="1" customWidth="1"/>
    <col min="9475" max="9475" width="18.42578125" style="1" bestFit="1" customWidth="1"/>
    <col min="9476" max="9476" width="15.28515625" style="1" customWidth="1"/>
    <col min="9477" max="9477" width="12" style="1" bestFit="1" customWidth="1"/>
    <col min="9478" max="9478" width="13.140625" style="1" customWidth="1"/>
    <col min="9479" max="9479" width="14" style="1" customWidth="1"/>
    <col min="9480" max="9480" width="12.140625" style="1" customWidth="1"/>
    <col min="9481" max="9481" width="14" style="1" customWidth="1"/>
    <col min="9482" max="9482" width="11.7109375" style="1" customWidth="1"/>
    <col min="9483" max="9485" width="9.140625" style="1"/>
    <col min="9486" max="9487" width="0" style="1" hidden="1" customWidth="1"/>
    <col min="9488" max="9729" width="9.140625" style="1"/>
    <col min="9730" max="9730" width="7.140625" style="1" bestFit="1" customWidth="1"/>
    <col min="9731" max="9731" width="18.42578125" style="1" bestFit="1" customWidth="1"/>
    <col min="9732" max="9732" width="15.28515625" style="1" customWidth="1"/>
    <col min="9733" max="9733" width="12" style="1" bestFit="1" customWidth="1"/>
    <col min="9734" max="9734" width="13.140625" style="1" customWidth="1"/>
    <col min="9735" max="9735" width="14" style="1" customWidth="1"/>
    <col min="9736" max="9736" width="12.140625" style="1" customWidth="1"/>
    <col min="9737" max="9737" width="14" style="1" customWidth="1"/>
    <col min="9738" max="9738" width="11.7109375" style="1" customWidth="1"/>
    <col min="9739" max="9741" width="9.140625" style="1"/>
    <col min="9742" max="9743" width="0" style="1" hidden="1" customWidth="1"/>
    <col min="9744" max="9985" width="9.140625" style="1"/>
    <col min="9986" max="9986" width="7.140625" style="1" bestFit="1" customWidth="1"/>
    <col min="9987" max="9987" width="18.42578125" style="1" bestFit="1" customWidth="1"/>
    <col min="9988" max="9988" width="15.28515625" style="1" customWidth="1"/>
    <col min="9989" max="9989" width="12" style="1" bestFit="1" customWidth="1"/>
    <col min="9990" max="9990" width="13.140625" style="1" customWidth="1"/>
    <col min="9991" max="9991" width="14" style="1" customWidth="1"/>
    <col min="9992" max="9992" width="12.140625" style="1" customWidth="1"/>
    <col min="9993" max="9993" width="14" style="1" customWidth="1"/>
    <col min="9994" max="9994" width="11.7109375" style="1" customWidth="1"/>
    <col min="9995" max="9997" width="9.140625" style="1"/>
    <col min="9998" max="9999" width="0" style="1" hidden="1" customWidth="1"/>
    <col min="10000" max="10241" width="9.140625" style="1"/>
    <col min="10242" max="10242" width="7.140625" style="1" bestFit="1" customWidth="1"/>
    <col min="10243" max="10243" width="18.42578125" style="1" bestFit="1" customWidth="1"/>
    <col min="10244" max="10244" width="15.28515625" style="1" customWidth="1"/>
    <col min="10245" max="10245" width="12" style="1" bestFit="1" customWidth="1"/>
    <col min="10246" max="10246" width="13.140625" style="1" customWidth="1"/>
    <col min="10247" max="10247" width="14" style="1" customWidth="1"/>
    <col min="10248" max="10248" width="12.140625" style="1" customWidth="1"/>
    <col min="10249" max="10249" width="14" style="1" customWidth="1"/>
    <col min="10250" max="10250" width="11.7109375" style="1" customWidth="1"/>
    <col min="10251" max="10253" width="9.140625" style="1"/>
    <col min="10254" max="10255" width="0" style="1" hidden="1" customWidth="1"/>
    <col min="10256" max="10497" width="9.140625" style="1"/>
    <col min="10498" max="10498" width="7.140625" style="1" bestFit="1" customWidth="1"/>
    <col min="10499" max="10499" width="18.42578125" style="1" bestFit="1" customWidth="1"/>
    <col min="10500" max="10500" width="15.28515625" style="1" customWidth="1"/>
    <col min="10501" max="10501" width="12" style="1" bestFit="1" customWidth="1"/>
    <col min="10502" max="10502" width="13.140625" style="1" customWidth="1"/>
    <col min="10503" max="10503" width="14" style="1" customWidth="1"/>
    <col min="10504" max="10504" width="12.140625" style="1" customWidth="1"/>
    <col min="10505" max="10505" width="14" style="1" customWidth="1"/>
    <col min="10506" max="10506" width="11.7109375" style="1" customWidth="1"/>
    <col min="10507" max="10509" width="9.140625" style="1"/>
    <col min="10510" max="10511" width="0" style="1" hidden="1" customWidth="1"/>
    <col min="10512" max="10753" width="9.140625" style="1"/>
    <col min="10754" max="10754" width="7.140625" style="1" bestFit="1" customWidth="1"/>
    <col min="10755" max="10755" width="18.42578125" style="1" bestFit="1" customWidth="1"/>
    <col min="10756" max="10756" width="15.28515625" style="1" customWidth="1"/>
    <col min="10757" max="10757" width="12" style="1" bestFit="1" customWidth="1"/>
    <col min="10758" max="10758" width="13.140625" style="1" customWidth="1"/>
    <col min="10759" max="10759" width="14" style="1" customWidth="1"/>
    <col min="10760" max="10760" width="12.140625" style="1" customWidth="1"/>
    <col min="10761" max="10761" width="14" style="1" customWidth="1"/>
    <col min="10762" max="10762" width="11.7109375" style="1" customWidth="1"/>
    <col min="10763" max="10765" width="9.140625" style="1"/>
    <col min="10766" max="10767" width="0" style="1" hidden="1" customWidth="1"/>
    <col min="10768" max="11009" width="9.140625" style="1"/>
    <col min="11010" max="11010" width="7.140625" style="1" bestFit="1" customWidth="1"/>
    <col min="11011" max="11011" width="18.42578125" style="1" bestFit="1" customWidth="1"/>
    <col min="11012" max="11012" width="15.28515625" style="1" customWidth="1"/>
    <col min="11013" max="11013" width="12" style="1" bestFit="1" customWidth="1"/>
    <col min="11014" max="11014" width="13.140625" style="1" customWidth="1"/>
    <col min="11015" max="11015" width="14" style="1" customWidth="1"/>
    <col min="11016" max="11016" width="12.140625" style="1" customWidth="1"/>
    <col min="11017" max="11017" width="14" style="1" customWidth="1"/>
    <col min="11018" max="11018" width="11.7109375" style="1" customWidth="1"/>
    <col min="11019" max="11021" width="9.140625" style="1"/>
    <col min="11022" max="11023" width="0" style="1" hidden="1" customWidth="1"/>
    <col min="11024" max="11265" width="9.140625" style="1"/>
    <col min="11266" max="11266" width="7.140625" style="1" bestFit="1" customWidth="1"/>
    <col min="11267" max="11267" width="18.42578125" style="1" bestFit="1" customWidth="1"/>
    <col min="11268" max="11268" width="15.28515625" style="1" customWidth="1"/>
    <col min="11269" max="11269" width="12" style="1" bestFit="1" customWidth="1"/>
    <col min="11270" max="11270" width="13.140625" style="1" customWidth="1"/>
    <col min="11271" max="11271" width="14" style="1" customWidth="1"/>
    <col min="11272" max="11272" width="12.140625" style="1" customWidth="1"/>
    <col min="11273" max="11273" width="14" style="1" customWidth="1"/>
    <col min="11274" max="11274" width="11.7109375" style="1" customWidth="1"/>
    <col min="11275" max="11277" width="9.140625" style="1"/>
    <col min="11278" max="11279" width="0" style="1" hidden="1" customWidth="1"/>
    <col min="11280" max="11521" width="9.140625" style="1"/>
    <col min="11522" max="11522" width="7.140625" style="1" bestFit="1" customWidth="1"/>
    <col min="11523" max="11523" width="18.42578125" style="1" bestFit="1" customWidth="1"/>
    <col min="11524" max="11524" width="15.28515625" style="1" customWidth="1"/>
    <col min="11525" max="11525" width="12" style="1" bestFit="1" customWidth="1"/>
    <col min="11526" max="11526" width="13.140625" style="1" customWidth="1"/>
    <col min="11527" max="11527" width="14" style="1" customWidth="1"/>
    <col min="11528" max="11528" width="12.140625" style="1" customWidth="1"/>
    <col min="11529" max="11529" width="14" style="1" customWidth="1"/>
    <col min="11530" max="11530" width="11.7109375" style="1" customWidth="1"/>
    <col min="11531" max="11533" width="9.140625" style="1"/>
    <col min="11534" max="11535" width="0" style="1" hidden="1" customWidth="1"/>
    <col min="11536" max="11777" width="9.140625" style="1"/>
    <col min="11778" max="11778" width="7.140625" style="1" bestFit="1" customWidth="1"/>
    <col min="11779" max="11779" width="18.42578125" style="1" bestFit="1" customWidth="1"/>
    <col min="11780" max="11780" width="15.28515625" style="1" customWidth="1"/>
    <col min="11781" max="11781" width="12" style="1" bestFit="1" customWidth="1"/>
    <col min="11782" max="11782" width="13.140625" style="1" customWidth="1"/>
    <col min="11783" max="11783" width="14" style="1" customWidth="1"/>
    <col min="11784" max="11784" width="12.140625" style="1" customWidth="1"/>
    <col min="11785" max="11785" width="14" style="1" customWidth="1"/>
    <col min="11786" max="11786" width="11.7109375" style="1" customWidth="1"/>
    <col min="11787" max="11789" width="9.140625" style="1"/>
    <col min="11790" max="11791" width="0" style="1" hidden="1" customWidth="1"/>
    <col min="11792" max="12033" width="9.140625" style="1"/>
    <col min="12034" max="12034" width="7.140625" style="1" bestFit="1" customWidth="1"/>
    <col min="12035" max="12035" width="18.42578125" style="1" bestFit="1" customWidth="1"/>
    <col min="12036" max="12036" width="15.28515625" style="1" customWidth="1"/>
    <col min="12037" max="12037" width="12" style="1" bestFit="1" customWidth="1"/>
    <col min="12038" max="12038" width="13.140625" style="1" customWidth="1"/>
    <col min="12039" max="12039" width="14" style="1" customWidth="1"/>
    <col min="12040" max="12040" width="12.140625" style="1" customWidth="1"/>
    <col min="12041" max="12041" width="14" style="1" customWidth="1"/>
    <col min="12042" max="12042" width="11.7109375" style="1" customWidth="1"/>
    <col min="12043" max="12045" width="9.140625" style="1"/>
    <col min="12046" max="12047" width="0" style="1" hidden="1" customWidth="1"/>
    <col min="12048" max="12289" width="9.140625" style="1"/>
    <col min="12290" max="12290" width="7.140625" style="1" bestFit="1" customWidth="1"/>
    <col min="12291" max="12291" width="18.42578125" style="1" bestFit="1" customWidth="1"/>
    <col min="12292" max="12292" width="15.28515625" style="1" customWidth="1"/>
    <col min="12293" max="12293" width="12" style="1" bestFit="1" customWidth="1"/>
    <col min="12294" max="12294" width="13.140625" style="1" customWidth="1"/>
    <col min="12295" max="12295" width="14" style="1" customWidth="1"/>
    <col min="12296" max="12296" width="12.140625" style="1" customWidth="1"/>
    <col min="12297" max="12297" width="14" style="1" customWidth="1"/>
    <col min="12298" max="12298" width="11.7109375" style="1" customWidth="1"/>
    <col min="12299" max="12301" width="9.140625" style="1"/>
    <col min="12302" max="12303" width="0" style="1" hidden="1" customWidth="1"/>
    <col min="12304" max="12545" width="9.140625" style="1"/>
    <col min="12546" max="12546" width="7.140625" style="1" bestFit="1" customWidth="1"/>
    <col min="12547" max="12547" width="18.42578125" style="1" bestFit="1" customWidth="1"/>
    <col min="12548" max="12548" width="15.28515625" style="1" customWidth="1"/>
    <col min="12549" max="12549" width="12" style="1" bestFit="1" customWidth="1"/>
    <col min="12550" max="12550" width="13.140625" style="1" customWidth="1"/>
    <col min="12551" max="12551" width="14" style="1" customWidth="1"/>
    <col min="12552" max="12552" width="12.140625" style="1" customWidth="1"/>
    <col min="12553" max="12553" width="14" style="1" customWidth="1"/>
    <col min="12554" max="12554" width="11.7109375" style="1" customWidth="1"/>
    <col min="12555" max="12557" width="9.140625" style="1"/>
    <col min="12558" max="12559" width="0" style="1" hidden="1" customWidth="1"/>
    <col min="12560" max="12801" width="9.140625" style="1"/>
    <col min="12802" max="12802" width="7.140625" style="1" bestFit="1" customWidth="1"/>
    <col min="12803" max="12803" width="18.42578125" style="1" bestFit="1" customWidth="1"/>
    <col min="12804" max="12804" width="15.28515625" style="1" customWidth="1"/>
    <col min="12805" max="12805" width="12" style="1" bestFit="1" customWidth="1"/>
    <col min="12806" max="12806" width="13.140625" style="1" customWidth="1"/>
    <col min="12807" max="12807" width="14" style="1" customWidth="1"/>
    <col min="12808" max="12808" width="12.140625" style="1" customWidth="1"/>
    <col min="12809" max="12809" width="14" style="1" customWidth="1"/>
    <col min="12810" max="12810" width="11.7109375" style="1" customWidth="1"/>
    <col min="12811" max="12813" width="9.140625" style="1"/>
    <col min="12814" max="12815" width="0" style="1" hidden="1" customWidth="1"/>
    <col min="12816" max="13057" width="9.140625" style="1"/>
    <col min="13058" max="13058" width="7.140625" style="1" bestFit="1" customWidth="1"/>
    <col min="13059" max="13059" width="18.42578125" style="1" bestFit="1" customWidth="1"/>
    <col min="13060" max="13060" width="15.28515625" style="1" customWidth="1"/>
    <col min="13061" max="13061" width="12" style="1" bestFit="1" customWidth="1"/>
    <col min="13062" max="13062" width="13.140625" style="1" customWidth="1"/>
    <col min="13063" max="13063" width="14" style="1" customWidth="1"/>
    <col min="13064" max="13064" width="12.140625" style="1" customWidth="1"/>
    <col min="13065" max="13065" width="14" style="1" customWidth="1"/>
    <col min="13066" max="13066" width="11.7109375" style="1" customWidth="1"/>
    <col min="13067" max="13069" width="9.140625" style="1"/>
    <col min="13070" max="13071" width="0" style="1" hidden="1" customWidth="1"/>
    <col min="13072" max="13313" width="9.140625" style="1"/>
    <col min="13314" max="13314" width="7.140625" style="1" bestFit="1" customWidth="1"/>
    <col min="13315" max="13315" width="18.42578125" style="1" bestFit="1" customWidth="1"/>
    <col min="13316" max="13316" width="15.28515625" style="1" customWidth="1"/>
    <col min="13317" max="13317" width="12" style="1" bestFit="1" customWidth="1"/>
    <col min="13318" max="13318" width="13.140625" style="1" customWidth="1"/>
    <col min="13319" max="13319" width="14" style="1" customWidth="1"/>
    <col min="13320" max="13320" width="12.140625" style="1" customWidth="1"/>
    <col min="13321" max="13321" width="14" style="1" customWidth="1"/>
    <col min="13322" max="13322" width="11.7109375" style="1" customWidth="1"/>
    <col min="13323" max="13325" width="9.140625" style="1"/>
    <col min="13326" max="13327" width="0" style="1" hidden="1" customWidth="1"/>
    <col min="13328" max="13569" width="9.140625" style="1"/>
    <col min="13570" max="13570" width="7.140625" style="1" bestFit="1" customWidth="1"/>
    <col min="13571" max="13571" width="18.42578125" style="1" bestFit="1" customWidth="1"/>
    <col min="13572" max="13572" width="15.28515625" style="1" customWidth="1"/>
    <col min="13573" max="13573" width="12" style="1" bestFit="1" customWidth="1"/>
    <col min="13574" max="13574" width="13.140625" style="1" customWidth="1"/>
    <col min="13575" max="13575" width="14" style="1" customWidth="1"/>
    <col min="13576" max="13576" width="12.140625" style="1" customWidth="1"/>
    <col min="13577" max="13577" width="14" style="1" customWidth="1"/>
    <col min="13578" max="13578" width="11.7109375" style="1" customWidth="1"/>
    <col min="13579" max="13581" width="9.140625" style="1"/>
    <col min="13582" max="13583" width="0" style="1" hidden="1" customWidth="1"/>
    <col min="13584" max="13825" width="9.140625" style="1"/>
    <col min="13826" max="13826" width="7.140625" style="1" bestFit="1" customWidth="1"/>
    <col min="13827" max="13827" width="18.42578125" style="1" bestFit="1" customWidth="1"/>
    <col min="13828" max="13828" width="15.28515625" style="1" customWidth="1"/>
    <col min="13829" max="13829" width="12" style="1" bestFit="1" customWidth="1"/>
    <col min="13830" max="13830" width="13.140625" style="1" customWidth="1"/>
    <col min="13831" max="13831" width="14" style="1" customWidth="1"/>
    <col min="13832" max="13832" width="12.140625" style="1" customWidth="1"/>
    <col min="13833" max="13833" width="14" style="1" customWidth="1"/>
    <col min="13834" max="13834" width="11.7109375" style="1" customWidth="1"/>
    <col min="13835" max="13837" width="9.140625" style="1"/>
    <col min="13838" max="13839" width="0" style="1" hidden="1" customWidth="1"/>
    <col min="13840" max="14081" width="9.140625" style="1"/>
    <col min="14082" max="14082" width="7.140625" style="1" bestFit="1" customWidth="1"/>
    <col min="14083" max="14083" width="18.42578125" style="1" bestFit="1" customWidth="1"/>
    <col min="14084" max="14084" width="15.28515625" style="1" customWidth="1"/>
    <col min="14085" max="14085" width="12" style="1" bestFit="1" customWidth="1"/>
    <col min="14086" max="14086" width="13.140625" style="1" customWidth="1"/>
    <col min="14087" max="14087" width="14" style="1" customWidth="1"/>
    <col min="14088" max="14088" width="12.140625" style="1" customWidth="1"/>
    <col min="14089" max="14089" width="14" style="1" customWidth="1"/>
    <col min="14090" max="14090" width="11.7109375" style="1" customWidth="1"/>
    <col min="14091" max="14093" width="9.140625" style="1"/>
    <col min="14094" max="14095" width="0" style="1" hidden="1" customWidth="1"/>
    <col min="14096" max="14337" width="9.140625" style="1"/>
    <col min="14338" max="14338" width="7.140625" style="1" bestFit="1" customWidth="1"/>
    <col min="14339" max="14339" width="18.42578125" style="1" bestFit="1" customWidth="1"/>
    <col min="14340" max="14340" width="15.28515625" style="1" customWidth="1"/>
    <col min="14341" max="14341" width="12" style="1" bestFit="1" customWidth="1"/>
    <col min="14342" max="14342" width="13.140625" style="1" customWidth="1"/>
    <col min="14343" max="14343" width="14" style="1" customWidth="1"/>
    <col min="14344" max="14344" width="12.140625" style="1" customWidth="1"/>
    <col min="14345" max="14345" width="14" style="1" customWidth="1"/>
    <col min="14346" max="14346" width="11.7109375" style="1" customWidth="1"/>
    <col min="14347" max="14349" width="9.140625" style="1"/>
    <col min="14350" max="14351" width="0" style="1" hidden="1" customWidth="1"/>
    <col min="14352" max="14593" width="9.140625" style="1"/>
    <col min="14594" max="14594" width="7.140625" style="1" bestFit="1" customWidth="1"/>
    <col min="14595" max="14595" width="18.42578125" style="1" bestFit="1" customWidth="1"/>
    <col min="14596" max="14596" width="15.28515625" style="1" customWidth="1"/>
    <col min="14597" max="14597" width="12" style="1" bestFit="1" customWidth="1"/>
    <col min="14598" max="14598" width="13.140625" style="1" customWidth="1"/>
    <col min="14599" max="14599" width="14" style="1" customWidth="1"/>
    <col min="14600" max="14600" width="12.140625" style="1" customWidth="1"/>
    <col min="14601" max="14601" width="14" style="1" customWidth="1"/>
    <col min="14602" max="14602" width="11.7109375" style="1" customWidth="1"/>
    <col min="14603" max="14605" width="9.140625" style="1"/>
    <col min="14606" max="14607" width="0" style="1" hidden="1" customWidth="1"/>
    <col min="14608" max="14849" width="9.140625" style="1"/>
    <col min="14850" max="14850" width="7.140625" style="1" bestFit="1" customWidth="1"/>
    <col min="14851" max="14851" width="18.42578125" style="1" bestFit="1" customWidth="1"/>
    <col min="14852" max="14852" width="15.28515625" style="1" customWidth="1"/>
    <col min="14853" max="14853" width="12" style="1" bestFit="1" customWidth="1"/>
    <col min="14854" max="14854" width="13.140625" style="1" customWidth="1"/>
    <col min="14855" max="14855" width="14" style="1" customWidth="1"/>
    <col min="14856" max="14856" width="12.140625" style="1" customWidth="1"/>
    <col min="14857" max="14857" width="14" style="1" customWidth="1"/>
    <col min="14858" max="14858" width="11.7109375" style="1" customWidth="1"/>
    <col min="14859" max="14861" width="9.140625" style="1"/>
    <col min="14862" max="14863" width="0" style="1" hidden="1" customWidth="1"/>
    <col min="14864" max="15105" width="9.140625" style="1"/>
    <col min="15106" max="15106" width="7.140625" style="1" bestFit="1" customWidth="1"/>
    <col min="15107" max="15107" width="18.42578125" style="1" bestFit="1" customWidth="1"/>
    <col min="15108" max="15108" width="15.28515625" style="1" customWidth="1"/>
    <col min="15109" max="15109" width="12" style="1" bestFit="1" customWidth="1"/>
    <col min="15110" max="15110" width="13.140625" style="1" customWidth="1"/>
    <col min="15111" max="15111" width="14" style="1" customWidth="1"/>
    <col min="15112" max="15112" width="12.140625" style="1" customWidth="1"/>
    <col min="15113" max="15113" width="14" style="1" customWidth="1"/>
    <col min="15114" max="15114" width="11.7109375" style="1" customWidth="1"/>
    <col min="15115" max="15117" width="9.140625" style="1"/>
    <col min="15118" max="15119" width="0" style="1" hidden="1" customWidth="1"/>
    <col min="15120" max="15361" width="9.140625" style="1"/>
    <col min="15362" max="15362" width="7.140625" style="1" bestFit="1" customWidth="1"/>
    <col min="15363" max="15363" width="18.42578125" style="1" bestFit="1" customWidth="1"/>
    <col min="15364" max="15364" width="15.28515625" style="1" customWidth="1"/>
    <col min="15365" max="15365" width="12" style="1" bestFit="1" customWidth="1"/>
    <col min="15366" max="15366" width="13.140625" style="1" customWidth="1"/>
    <col min="15367" max="15367" width="14" style="1" customWidth="1"/>
    <col min="15368" max="15368" width="12.140625" style="1" customWidth="1"/>
    <col min="15369" max="15369" width="14" style="1" customWidth="1"/>
    <col min="15370" max="15370" width="11.7109375" style="1" customWidth="1"/>
    <col min="15371" max="15373" width="9.140625" style="1"/>
    <col min="15374" max="15375" width="0" style="1" hidden="1" customWidth="1"/>
    <col min="15376" max="15617" width="9.140625" style="1"/>
    <col min="15618" max="15618" width="7.140625" style="1" bestFit="1" customWidth="1"/>
    <col min="15619" max="15619" width="18.42578125" style="1" bestFit="1" customWidth="1"/>
    <col min="15620" max="15620" width="15.28515625" style="1" customWidth="1"/>
    <col min="15621" max="15621" width="12" style="1" bestFit="1" customWidth="1"/>
    <col min="15622" max="15622" width="13.140625" style="1" customWidth="1"/>
    <col min="15623" max="15623" width="14" style="1" customWidth="1"/>
    <col min="15624" max="15624" width="12.140625" style="1" customWidth="1"/>
    <col min="15625" max="15625" width="14" style="1" customWidth="1"/>
    <col min="15626" max="15626" width="11.7109375" style="1" customWidth="1"/>
    <col min="15627" max="15629" width="9.140625" style="1"/>
    <col min="15630" max="15631" width="0" style="1" hidden="1" customWidth="1"/>
    <col min="15632" max="15873" width="9.140625" style="1"/>
    <col min="15874" max="15874" width="7.140625" style="1" bestFit="1" customWidth="1"/>
    <col min="15875" max="15875" width="18.42578125" style="1" bestFit="1" customWidth="1"/>
    <col min="15876" max="15876" width="15.28515625" style="1" customWidth="1"/>
    <col min="15877" max="15877" width="12" style="1" bestFit="1" customWidth="1"/>
    <col min="15878" max="15878" width="13.140625" style="1" customWidth="1"/>
    <col min="15879" max="15879" width="14" style="1" customWidth="1"/>
    <col min="15880" max="15880" width="12.140625" style="1" customWidth="1"/>
    <col min="15881" max="15881" width="14" style="1" customWidth="1"/>
    <col min="15882" max="15882" width="11.7109375" style="1" customWidth="1"/>
    <col min="15883" max="15885" width="9.140625" style="1"/>
    <col min="15886" max="15887" width="0" style="1" hidden="1" customWidth="1"/>
    <col min="15888" max="16129" width="9.140625" style="1"/>
    <col min="16130" max="16130" width="7.140625" style="1" bestFit="1" customWidth="1"/>
    <col min="16131" max="16131" width="18.42578125" style="1" bestFit="1" customWidth="1"/>
    <col min="16132" max="16132" width="15.28515625" style="1" customWidth="1"/>
    <col min="16133" max="16133" width="12" style="1" bestFit="1" customWidth="1"/>
    <col min="16134" max="16134" width="13.140625" style="1" customWidth="1"/>
    <col min="16135" max="16135" width="14" style="1" customWidth="1"/>
    <col min="16136" max="16136" width="12.140625" style="1" customWidth="1"/>
    <col min="16137" max="16137" width="14" style="1" customWidth="1"/>
    <col min="16138" max="16138" width="11.7109375" style="1" customWidth="1"/>
    <col min="16139" max="16141" width="9.140625" style="1"/>
    <col min="16142" max="16143" width="0" style="1" hidden="1" customWidth="1"/>
    <col min="16144" max="16384" width="9.140625" style="1"/>
  </cols>
  <sheetData>
    <row r="1" spans="2:17">
      <c r="H1" s="2198"/>
    </row>
    <row r="2" spans="2:17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</row>
    <row r="3" spans="2:17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</row>
    <row r="4" spans="2:17" ht="15.75" customHeight="1">
      <c r="B4" s="2331"/>
      <c r="C4" s="2331"/>
      <c r="D4" s="2331"/>
      <c r="E4" s="2331"/>
      <c r="F4" s="2331"/>
      <c r="G4" s="2331"/>
      <c r="H4" s="2419" t="s">
        <v>2797</v>
      </c>
      <c r="I4" s="2419"/>
    </row>
    <row r="5" spans="2:17" ht="15.75" customHeight="1">
      <c r="B5" s="2549" t="s">
        <v>92</v>
      </c>
      <c r="C5" s="2549"/>
      <c r="D5" s="2549"/>
      <c r="E5" s="2549"/>
      <c r="F5" s="2549"/>
      <c r="G5" s="2549"/>
      <c r="H5" s="2549"/>
      <c r="I5" s="2549"/>
    </row>
    <row r="6" spans="2:17" ht="15.75" customHeight="1">
      <c r="B6" s="2203"/>
      <c r="C6" s="2203"/>
      <c r="D6" s="2549" t="s">
        <v>2755</v>
      </c>
      <c r="E6" s="2549"/>
      <c r="F6" s="2549"/>
      <c r="G6" s="2203"/>
      <c r="H6" s="2203"/>
      <c r="I6" s="2203"/>
    </row>
    <row r="7" spans="2:17" hidden="1">
      <c r="B7" s="147" t="s">
        <v>341</v>
      </c>
      <c r="I7" s="147" t="s">
        <v>97</v>
      </c>
      <c r="J7" s="1" t="s">
        <v>2617</v>
      </c>
    </row>
    <row r="8" spans="2:17" ht="47.25" hidden="1">
      <c r="B8" s="1846" t="s">
        <v>389</v>
      </c>
      <c r="C8" s="1846" t="s">
        <v>435</v>
      </c>
      <c r="D8" s="1846" t="s">
        <v>436</v>
      </c>
      <c r="E8" s="1846" t="s">
        <v>437</v>
      </c>
      <c r="F8" s="1846" t="s">
        <v>438</v>
      </c>
      <c r="G8" s="1846" t="s">
        <v>439</v>
      </c>
      <c r="H8" s="1846" t="s">
        <v>411</v>
      </c>
      <c r="I8" s="1846" t="s">
        <v>183</v>
      </c>
      <c r="J8" s="1531" t="s">
        <v>2618</v>
      </c>
      <c r="N8" s="1" t="s">
        <v>441</v>
      </c>
      <c r="O8" s="1" t="s">
        <v>151</v>
      </c>
    </row>
    <row r="9" spans="2:17" hidden="1">
      <c r="B9" s="346">
        <v>1</v>
      </c>
      <c r="C9" s="346" t="str">
        <f>C18</f>
        <v>Commercial Banks</v>
      </c>
      <c r="D9" s="91">
        <v>310.70999999999998</v>
      </c>
      <c r="E9" s="1532"/>
      <c r="F9" s="346">
        <v>0</v>
      </c>
      <c r="G9" s="91">
        <v>41.69</v>
      </c>
      <c r="H9" s="91">
        <f>D9+F9-G9</f>
        <v>269.02</v>
      </c>
      <c r="I9" s="91">
        <v>28</v>
      </c>
      <c r="K9" s="1" t="s">
        <v>379</v>
      </c>
      <c r="L9" s="1" t="s">
        <v>2619</v>
      </c>
      <c r="M9" s="1" t="s">
        <v>2620</v>
      </c>
      <c r="N9" s="1533">
        <f>(D9+H9)/2</f>
        <v>289.86500000000001</v>
      </c>
      <c r="O9" s="1534">
        <f>I9/N9</f>
        <v>9.6596691563313949E-2</v>
      </c>
      <c r="P9" s="1" t="s">
        <v>2621</v>
      </c>
      <c r="Q9" s="1" t="s">
        <v>2622</v>
      </c>
    </row>
    <row r="10" spans="2:17" hidden="1">
      <c r="B10" s="346">
        <v>2</v>
      </c>
      <c r="C10" s="346" t="s">
        <v>378</v>
      </c>
      <c r="D10" s="91">
        <v>302.3</v>
      </c>
      <c r="E10" s="1535"/>
      <c r="F10" s="346">
        <v>0</v>
      </c>
      <c r="G10" s="91">
        <v>40.909999999999997</v>
      </c>
      <c r="H10" s="91">
        <f>D10+F10-G10</f>
        <v>261.39</v>
      </c>
      <c r="I10" s="91">
        <v>29.07</v>
      </c>
      <c r="K10" s="1" t="s">
        <v>2193</v>
      </c>
      <c r="L10" s="1">
        <f>'[2]REC-M'!D3/10^7</f>
        <v>27.320899199999999</v>
      </c>
      <c r="M10" s="1">
        <f>'[2]REC-M'!C16/10^7</f>
        <v>5.4641820000000001</v>
      </c>
      <c r="N10" s="1533">
        <f>(D10+H10)/2</f>
        <v>281.84500000000003</v>
      </c>
      <c r="O10" s="1534">
        <f>I10/N10</f>
        <v>0.10314179779666127</v>
      </c>
      <c r="P10" s="1">
        <f>'[2]REC-M'!E16/10^7</f>
        <v>2.3373962000000001</v>
      </c>
      <c r="Q10" s="1">
        <f>L10-M10</f>
        <v>21.856717199999999</v>
      </c>
    </row>
    <row r="11" spans="2:17" hidden="1">
      <c r="B11" s="346">
        <v>3</v>
      </c>
      <c r="C11" s="346" t="s">
        <v>379</v>
      </c>
      <c r="D11" s="91">
        <v>274.06</v>
      </c>
      <c r="E11" s="1532"/>
      <c r="F11" s="1536">
        <v>274.68</v>
      </c>
      <c r="G11" s="91">
        <v>24.77</v>
      </c>
      <c r="H11" s="91">
        <f>D11+F11-G11</f>
        <v>523.97</v>
      </c>
      <c r="I11" s="91">
        <v>35.47</v>
      </c>
      <c r="N11" s="1533">
        <f>(D11+H11)/2</f>
        <v>399.01499999999999</v>
      </c>
      <c r="O11" s="1534">
        <f>I11/N11</f>
        <v>8.8893901231783271E-2</v>
      </c>
    </row>
    <row r="12" spans="2:17" hidden="1">
      <c r="B12" s="346"/>
      <c r="C12" s="346"/>
      <c r="D12" s="530">
        <f>SUM(D9:D11)</f>
        <v>887.06999999999994</v>
      </c>
      <c r="E12" s="346"/>
      <c r="F12" s="530">
        <f>SUM(F9:F11)</f>
        <v>274.68</v>
      </c>
      <c r="G12" s="530">
        <f>SUM(G9:G11)</f>
        <v>107.36999999999999</v>
      </c>
      <c r="H12" s="530">
        <f>SUM(H9:H11)</f>
        <v>1054.3800000000001</v>
      </c>
      <c r="I12" s="530">
        <f>SUM(I9:I11)</f>
        <v>92.539999999999992</v>
      </c>
      <c r="N12" s="1537">
        <f>SUM(N9:N11)</f>
        <v>970.72500000000002</v>
      </c>
      <c r="O12" s="1538"/>
    </row>
    <row r="13" spans="2:17" hidden="1">
      <c r="B13" s="346"/>
      <c r="C13" s="570" t="s">
        <v>2623</v>
      </c>
      <c r="D13" s="1539"/>
      <c r="E13" s="1539"/>
      <c r="F13" s="1539"/>
      <c r="G13" s="1450"/>
      <c r="H13" s="346"/>
      <c r="I13" s="91">
        <v>18.260000000000002</v>
      </c>
    </row>
    <row r="14" spans="2:17" hidden="1">
      <c r="B14" s="346"/>
      <c r="C14" s="570" t="s">
        <v>197</v>
      </c>
      <c r="D14" s="1539"/>
      <c r="E14" s="1539"/>
      <c r="F14" s="1539"/>
      <c r="G14" s="1450"/>
      <c r="H14" s="346"/>
      <c r="I14" s="530">
        <f>I12-I13</f>
        <v>74.279999999999987</v>
      </c>
      <c r="K14" s="1534">
        <f>I11/(D11+F12)*2</f>
        <v>0.12927798228669315</v>
      </c>
    </row>
    <row r="15" spans="2:17" hidden="1"/>
    <row r="16" spans="2:17" hidden="1">
      <c r="B16" s="147" t="s">
        <v>342</v>
      </c>
      <c r="H16" s="2565" t="s">
        <v>97</v>
      </c>
      <c r="I16" s="2565"/>
    </row>
    <row r="17" spans="2:19" ht="47.25" hidden="1">
      <c r="B17" s="1846" t="s">
        <v>389</v>
      </c>
      <c r="C17" s="1846" t="s">
        <v>435</v>
      </c>
      <c r="D17" s="1846" t="s">
        <v>436</v>
      </c>
      <c r="E17" s="1846" t="s">
        <v>437</v>
      </c>
      <c r="F17" s="1846" t="s">
        <v>438</v>
      </c>
      <c r="G17" s="1846" t="s">
        <v>439</v>
      </c>
      <c r="H17" s="1846" t="s">
        <v>411</v>
      </c>
      <c r="I17" s="1846" t="s">
        <v>183</v>
      </c>
      <c r="J17" s="1" t="s">
        <v>2624</v>
      </c>
      <c r="M17" s="1" t="s">
        <v>397</v>
      </c>
      <c r="N17" s="1" t="s">
        <v>1278</v>
      </c>
      <c r="O17" s="1" t="s">
        <v>1895</v>
      </c>
      <c r="P17" s="1" t="s">
        <v>441</v>
      </c>
      <c r="Q17" s="1" t="s">
        <v>151</v>
      </c>
    </row>
    <row r="18" spans="2:19" hidden="1">
      <c r="B18" s="346">
        <v>1</v>
      </c>
      <c r="C18" s="346" t="s">
        <v>1341</v>
      </c>
      <c r="D18" s="91">
        <f>H9</f>
        <v>269.02</v>
      </c>
      <c r="E18" s="1532"/>
      <c r="F18" s="91">
        <v>50</v>
      </c>
      <c r="G18" s="91">
        <v>57.17</v>
      </c>
      <c r="H18" s="91">
        <f>D18+F18-G18</f>
        <v>261.84999999999997</v>
      </c>
      <c r="I18" s="91">
        <v>29.33</v>
      </c>
      <c r="J18" s="354">
        <f>I18/((D18+H18)/2)</f>
        <v>0.11049786200011304</v>
      </c>
      <c r="L18" s="1">
        <v>53.5</v>
      </c>
      <c r="M18" s="1" t="s">
        <v>2625</v>
      </c>
      <c r="N18" s="1" t="s">
        <v>2626</v>
      </c>
      <c r="O18" s="1">
        <v>78.551000000000002</v>
      </c>
      <c r="P18" s="1533">
        <f>(D18+H18)/2</f>
        <v>265.43499999999995</v>
      </c>
      <c r="Q18" s="1534">
        <f>I18/P18</f>
        <v>0.11049786200011304</v>
      </c>
      <c r="S18" s="354">
        <f>I18/(D18+H18)*2</f>
        <v>0.11049786200011304</v>
      </c>
    </row>
    <row r="19" spans="2:19" hidden="1">
      <c r="B19" s="346">
        <v>2</v>
      </c>
      <c r="C19" s="346" t="s">
        <v>378</v>
      </c>
      <c r="D19" s="91">
        <f>H10</f>
        <v>261.39</v>
      </c>
      <c r="E19" s="1535"/>
      <c r="F19" s="346">
        <v>0</v>
      </c>
      <c r="G19" s="91">
        <v>40.92</v>
      </c>
      <c r="H19" s="91">
        <f>D19+F19-G19</f>
        <v>220.46999999999997</v>
      </c>
      <c r="I19" s="91">
        <v>26.15</v>
      </c>
      <c r="J19" s="354">
        <f>I19/((D19+H19)/2)</f>
        <v>0.10853774955381232</v>
      </c>
      <c r="L19" s="1">
        <v>52.5</v>
      </c>
      <c r="M19" s="1" t="s">
        <v>2625</v>
      </c>
      <c r="N19" s="1" t="s">
        <v>2626</v>
      </c>
      <c r="O19" s="1">
        <v>78.501000000000005</v>
      </c>
      <c r="P19" s="1533">
        <f>(D19+H19)/2</f>
        <v>240.92999999999998</v>
      </c>
      <c r="Q19" s="1534">
        <f>I19/P19</f>
        <v>0.10853774955381232</v>
      </c>
      <c r="S19" s="354">
        <f>I19/(D19+H19)*2</f>
        <v>0.10853774955381232</v>
      </c>
    </row>
    <row r="20" spans="2:19" hidden="1">
      <c r="B20" s="346">
        <v>3</v>
      </c>
      <c r="C20" s="346" t="s">
        <v>379</v>
      </c>
      <c r="D20" s="91">
        <f>H11</f>
        <v>523.97</v>
      </c>
      <c r="E20" s="1532"/>
      <c r="F20" s="91">
        <v>658.49</v>
      </c>
      <c r="G20" s="91">
        <v>41.54</v>
      </c>
      <c r="H20" s="91">
        <f>D20+F20-G20</f>
        <v>1140.92</v>
      </c>
      <c r="I20" s="91">
        <v>93.04</v>
      </c>
      <c r="J20" s="354">
        <f>I20/((D20+H20)/2)</f>
        <v>0.11176714377526444</v>
      </c>
      <c r="L20" s="1">
        <v>53.3</v>
      </c>
      <c r="M20" s="1" t="s">
        <v>2625</v>
      </c>
      <c r="N20" s="1" t="s">
        <v>2626</v>
      </c>
      <c r="O20" s="1">
        <v>78.531000000000006</v>
      </c>
      <c r="P20" s="1533">
        <f>(D20+H20)/2</f>
        <v>832.44500000000005</v>
      </c>
      <c r="Q20" s="1534">
        <f>I20/P20</f>
        <v>0.11176714377526444</v>
      </c>
      <c r="S20" s="354">
        <f>I20/(D20+H20)*2</f>
        <v>0.11176714377526444</v>
      </c>
    </row>
    <row r="21" spans="2:19" hidden="1">
      <c r="B21" s="346"/>
      <c r="C21" s="346"/>
      <c r="D21" s="530">
        <f>SUM(D18:D20)</f>
        <v>1054.3800000000001</v>
      </c>
      <c r="E21" s="346"/>
      <c r="F21" s="530">
        <f>SUM(F18:F20)</f>
        <v>708.49</v>
      </c>
      <c r="G21" s="530">
        <f>SUM(G18:G20)</f>
        <v>139.63</v>
      </c>
      <c r="H21" s="530">
        <f>SUM(H18:H20)</f>
        <v>1623.24</v>
      </c>
      <c r="I21" s="530">
        <f>SUM(I18:I20)</f>
        <v>148.52000000000001</v>
      </c>
      <c r="L21" s="1">
        <f>[2]OBC!S16/10^7</f>
        <v>211.84285700000001</v>
      </c>
      <c r="M21" s="1">
        <f>[2]OBC!T16/10^7</f>
        <v>26.869495100000002</v>
      </c>
      <c r="N21" s="1537">
        <f>SUM(P18:P20)</f>
        <v>1338.81</v>
      </c>
    </row>
    <row r="22" spans="2:19" hidden="1">
      <c r="B22" s="346"/>
      <c r="C22" s="2566" t="s">
        <v>2623</v>
      </c>
      <c r="D22" s="2560"/>
      <c r="E22" s="2560"/>
      <c r="F22" s="2560"/>
      <c r="G22" s="2560"/>
      <c r="H22" s="2561"/>
      <c r="I22" s="91">
        <v>66.88</v>
      </c>
    </row>
    <row r="23" spans="2:19" hidden="1">
      <c r="B23" s="346"/>
      <c r="C23" s="2566" t="s">
        <v>197</v>
      </c>
      <c r="D23" s="2560"/>
      <c r="E23" s="2560"/>
      <c r="F23" s="2560"/>
      <c r="G23" s="2560"/>
      <c r="H23" s="2561"/>
      <c r="I23" s="530">
        <f>I21-I22</f>
        <v>81.640000000000015</v>
      </c>
    </row>
    <row r="24" spans="2:19" hidden="1"/>
    <row r="25" spans="2:19" hidden="1">
      <c r="B25" s="147" t="s">
        <v>2627</v>
      </c>
      <c r="H25" s="2565" t="s">
        <v>97</v>
      </c>
      <c r="I25" s="2565"/>
    </row>
    <row r="26" spans="2:19" ht="47.25" hidden="1">
      <c r="B26" s="1846" t="s">
        <v>389</v>
      </c>
      <c r="C26" s="1846" t="s">
        <v>435</v>
      </c>
      <c r="D26" s="1846" t="s">
        <v>436</v>
      </c>
      <c r="E26" s="1846" t="s">
        <v>437</v>
      </c>
      <c r="F26" s="1846" t="s">
        <v>438</v>
      </c>
      <c r="G26" s="1846" t="s">
        <v>439</v>
      </c>
      <c r="H26" s="1846" t="s">
        <v>411</v>
      </c>
      <c r="I26" s="1846" t="s">
        <v>183</v>
      </c>
    </row>
    <row r="27" spans="2:19" hidden="1">
      <c r="B27" s="346">
        <v>1</v>
      </c>
      <c r="C27" s="346" t="str">
        <f>C18</f>
        <v>Commercial Banks</v>
      </c>
      <c r="D27" s="91">
        <f>H18</f>
        <v>261.84999999999997</v>
      </c>
      <c r="E27" s="1532"/>
      <c r="F27" s="346">
        <v>0</v>
      </c>
      <c r="G27" s="91">
        <v>19.856000000000002</v>
      </c>
      <c r="H27" s="91">
        <f>D27+F27-G27</f>
        <v>241.99399999999997</v>
      </c>
      <c r="I27" s="91">
        <v>13.6380544</v>
      </c>
    </row>
    <row r="28" spans="2:19" hidden="1">
      <c r="B28" s="346">
        <v>2</v>
      </c>
      <c r="C28" s="346" t="s">
        <v>378</v>
      </c>
      <c r="D28" s="91">
        <f>H19</f>
        <v>220.46999999999997</v>
      </c>
      <c r="E28" s="1535"/>
      <c r="F28" s="346">
        <v>0</v>
      </c>
      <c r="G28" s="91">
        <v>31.166633300000001</v>
      </c>
      <c r="H28" s="91">
        <f>D28+F28-G28</f>
        <v>189.30336669999997</v>
      </c>
      <c r="I28" s="91">
        <v>7.0236026999999996</v>
      </c>
      <c r="K28" s="1534"/>
    </row>
    <row r="29" spans="2:19" hidden="1">
      <c r="B29" s="346">
        <v>3</v>
      </c>
      <c r="C29" s="346" t="s">
        <v>379</v>
      </c>
      <c r="D29" s="91">
        <f>H20</f>
        <v>1140.92</v>
      </c>
      <c r="E29" s="1532"/>
      <c r="F29" s="91">
        <v>491.18374549999999</v>
      </c>
      <c r="G29" s="91">
        <v>4.6751958</v>
      </c>
      <c r="H29" s="91">
        <f>D29+F29-G29</f>
        <v>1627.4285497000001</v>
      </c>
      <c r="I29" s="91">
        <v>76.241622500000005</v>
      </c>
      <c r="K29" s="1534"/>
    </row>
    <row r="30" spans="2:19" hidden="1">
      <c r="B30" s="346"/>
      <c r="C30" s="346"/>
      <c r="D30" s="530">
        <f>SUM(D27:D29)</f>
        <v>1623.24</v>
      </c>
      <c r="E30" s="346"/>
      <c r="F30" s="530">
        <f>SUM(F27:F29)</f>
        <v>491.18374549999999</v>
      </c>
      <c r="G30" s="530">
        <f>SUM(G27:G29)</f>
        <v>55.6978291</v>
      </c>
      <c r="H30" s="530">
        <f>SUM(H27:H29)</f>
        <v>2058.7259164000002</v>
      </c>
      <c r="I30" s="530">
        <f>SUM(I27:I29)</f>
        <v>96.903279600000005</v>
      </c>
    </row>
    <row r="31" spans="2:19" hidden="1">
      <c r="B31" s="346"/>
      <c r="C31" s="2566" t="s">
        <v>2623</v>
      </c>
      <c r="D31" s="2560"/>
      <c r="E31" s="2560"/>
      <c r="F31" s="2560"/>
      <c r="G31" s="2560"/>
      <c r="H31" s="2561"/>
      <c r="I31" s="91">
        <v>0</v>
      </c>
    </row>
    <row r="32" spans="2:19" hidden="1">
      <c r="B32" s="346"/>
      <c r="C32" s="2566" t="s">
        <v>197</v>
      </c>
      <c r="D32" s="2560"/>
      <c r="E32" s="2560"/>
      <c r="F32" s="2560"/>
      <c r="G32" s="2560"/>
      <c r="H32" s="2561"/>
      <c r="I32" s="530">
        <f>I30-I31</f>
        <v>96.903279600000005</v>
      </c>
    </row>
    <row r="33" spans="2:12" ht="31.5" hidden="1" customHeight="1">
      <c r="B33" s="2567" t="s">
        <v>1387</v>
      </c>
      <c r="C33" s="2567"/>
      <c r="D33" s="2567"/>
      <c r="E33" s="2567"/>
      <c r="F33" s="2567"/>
      <c r="G33" s="2567"/>
      <c r="H33" s="2567"/>
      <c r="I33" s="2567"/>
    </row>
    <row r="34" spans="2:12" ht="16.5" hidden="1">
      <c r="B34" s="1540"/>
      <c r="C34" s="1540"/>
    </row>
    <row r="35" spans="2:12" hidden="1"/>
    <row r="37" spans="2:12" ht="16.5" thickBot="1">
      <c r="B37" s="147" t="s">
        <v>1752</v>
      </c>
      <c r="H37" s="2559" t="s">
        <v>97</v>
      </c>
      <c r="I37" s="2559"/>
    </row>
    <row r="38" spans="2:12" ht="47.25">
      <c r="B38" s="2187" t="s">
        <v>389</v>
      </c>
      <c r="C38" s="2188" t="s">
        <v>435</v>
      </c>
      <c r="D38" s="2188" t="s">
        <v>436</v>
      </c>
      <c r="E38" s="2188" t="s">
        <v>437</v>
      </c>
      <c r="F38" s="2188" t="s">
        <v>438</v>
      </c>
      <c r="G38" s="2188" t="s">
        <v>439</v>
      </c>
      <c r="H38" s="2188" t="s">
        <v>411</v>
      </c>
      <c r="I38" s="2142" t="s">
        <v>183</v>
      </c>
    </row>
    <row r="39" spans="2:12">
      <c r="B39" s="585">
        <v>1</v>
      </c>
      <c r="C39" s="346" t="s">
        <v>1341</v>
      </c>
      <c r="D39" s="91">
        <f>[2]OBC!S16/10^7+'[2]SBOP-MTL'!H3/10^7</f>
        <v>261.84285699999998</v>
      </c>
      <c r="E39" s="1532"/>
      <c r="F39" s="346">
        <v>0</v>
      </c>
      <c r="G39" s="91">
        <f>[2]OBC!R32/10^7+'[2]SBOP-MTL'!G16/10^7</f>
        <v>68.283428599999993</v>
      </c>
      <c r="H39" s="91">
        <f>D39+F39-G39</f>
        <v>193.5594284</v>
      </c>
      <c r="I39" s="82">
        <f>[2]OBC!T32/10^7+'[2]SBOP-MTL'!I16/10^7</f>
        <v>26.040172900000002</v>
      </c>
    </row>
    <row r="40" spans="2:12">
      <c r="B40" s="585">
        <v>2</v>
      </c>
      <c r="C40" s="346" t="s">
        <v>378</v>
      </c>
      <c r="D40" s="91">
        <f>[2]LIC!D23/10^7</f>
        <v>220.46643370000001</v>
      </c>
      <c r="E40" s="1535"/>
      <c r="F40" s="346">
        <v>0</v>
      </c>
      <c r="G40" s="91">
        <f>[2]LIC!J23/10^7</f>
        <v>40.916633300000001</v>
      </c>
      <c r="H40" s="91">
        <f>D40+F40-G40</f>
        <v>179.54980040000001</v>
      </c>
      <c r="I40" s="82">
        <f>[2]LIC!O23/10^7</f>
        <v>21.547519875500001</v>
      </c>
    </row>
    <row r="41" spans="2:12">
      <c r="B41" s="585">
        <v>3</v>
      </c>
      <c r="C41" s="576" t="s">
        <v>2757</v>
      </c>
      <c r="D41" s="91">
        <f>D29</f>
        <v>1140.92</v>
      </c>
      <c r="E41" s="1532"/>
      <c r="F41" s="91">
        <f>'[2]Funding Pattern'!G7</f>
        <v>1060.1348156684851</v>
      </c>
      <c r="G41" s="91">
        <f>'[11]REC-Total'!$G$7/10^7</f>
        <v>36.4970924</v>
      </c>
      <c r="H41" s="91">
        <f>D41+F41-G41</f>
        <v>2164.5577232684855</v>
      </c>
      <c r="I41" s="82">
        <f>(D41*J20)+(F41/2*Interest_Rate_for_REC)</f>
        <v>193.77579565535501</v>
      </c>
    </row>
    <row r="42" spans="2:12">
      <c r="B42" s="585">
        <v>4</v>
      </c>
      <c r="C42" s="346" t="s">
        <v>2804</v>
      </c>
      <c r="D42" s="91">
        <v>600</v>
      </c>
      <c r="E42" s="1532"/>
      <c r="F42" s="91"/>
      <c r="G42" s="91"/>
      <c r="H42" s="91">
        <v>600</v>
      </c>
      <c r="I42" s="82">
        <v>72.13</v>
      </c>
    </row>
    <row r="43" spans="2:12">
      <c r="B43" s="585">
        <v>5</v>
      </c>
      <c r="C43" s="346" t="s">
        <v>2759</v>
      </c>
      <c r="D43" s="91">
        <v>204</v>
      </c>
      <c r="E43" s="1532"/>
      <c r="F43" s="91">
        <v>17</v>
      </c>
      <c r="G43" s="91"/>
      <c r="H43" s="91">
        <f>D43+F43</f>
        <v>221</v>
      </c>
      <c r="I43" s="82">
        <v>17</v>
      </c>
    </row>
    <row r="44" spans="2:12">
      <c r="B44" s="585"/>
      <c r="C44" s="346"/>
      <c r="D44" s="530">
        <f>SUM(D39:D43)</f>
        <v>2427.2292907000001</v>
      </c>
      <c r="E44" s="346"/>
      <c r="F44" s="530">
        <f>SUM(F39:F43)</f>
        <v>1077.1348156684851</v>
      </c>
      <c r="G44" s="530">
        <f>SUM(G39:G43)</f>
        <v>145.69715429999999</v>
      </c>
      <c r="H44" s="530">
        <f>SUM(H39:H43)</f>
        <v>3358.6669520684854</v>
      </c>
      <c r="I44" s="533">
        <f>SUM(I39:I43)</f>
        <v>330.493488430855</v>
      </c>
      <c r="L44" s="1534"/>
    </row>
    <row r="45" spans="2:12">
      <c r="B45" s="585"/>
      <c r="C45" s="2564" t="s">
        <v>2623</v>
      </c>
      <c r="D45" s="2564"/>
      <c r="E45" s="2564"/>
      <c r="F45" s="2564"/>
      <c r="G45" s="2564"/>
      <c r="H45" s="2564"/>
      <c r="I45" s="82">
        <f>'F21 R'!H29</f>
        <v>40</v>
      </c>
    </row>
    <row r="46" spans="2:12" ht="16.5" thickBot="1">
      <c r="B46" s="588"/>
      <c r="C46" s="2568" t="s">
        <v>197</v>
      </c>
      <c r="D46" s="2568"/>
      <c r="E46" s="2568"/>
      <c r="F46" s="2568"/>
      <c r="G46" s="2568"/>
      <c r="H46" s="2568"/>
      <c r="I46" s="1481">
        <f>I44-I45</f>
        <v>290.493488430855</v>
      </c>
      <c r="L46" s="1530"/>
    </row>
    <row r="47" spans="2:12">
      <c r="L47" s="1534"/>
    </row>
    <row r="49" spans="2:9" ht="16.5" customHeight="1" thickBot="1">
      <c r="B49" s="147" t="s">
        <v>2590</v>
      </c>
      <c r="H49" s="2559" t="s">
        <v>97</v>
      </c>
      <c r="I49" s="2559"/>
    </row>
    <row r="50" spans="2:9" ht="66.75" customHeight="1" thickBot="1">
      <c r="B50" s="2151" t="s">
        <v>389</v>
      </c>
      <c r="C50" s="2152" t="s">
        <v>435</v>
      </c>
      <c r="D50" s="2153" t="s">
        <v>436</v>
      </c>
      <c r="E50" s="2153" t="s">
        <v>437</v>
      </c>
      <c r="F50" s="2153" t="s">
        <v>438</v>
      </c>
      <c r="G50" s="2153" t="s">
        <v>439</v>
      </c>
      <c r="H50" s="2153" t="s">
        <v>411</v>
      </c>
      <c r="I50" s="2154" t="s">
        <v>183</v>
      </c>
    </row>
    <row r="51" spans="2:9">
      <c r="B51" s="1560">
        <v>1</v>
      </c>
      <c r="C51" s="1559" t="s">
        <v>1341</v>
      </c>
      <c r="D51" s="1556">
        <f>[2]OBC!S32/10^7+'[2]SBOP-MTL'!L3/10^7</f>
        <v>193.5594284</v>
      </c>
      <c r="E51" s="1558"/>
      <c r="F51" s="1557">
        <v>0</v>
      </c>
      <c r="G51" s="1556">
        <f>[2]OBC!R48/10^7+'[2]SBOP-MTL'!K16/10^7</f>
        <v>68.283428400000005</v>
      </c>
      <c r="H51" s="1556">
        <f>D51+F51-G51</f>
        <v>125.276</v>
      </c>
      <c r="I51" s="1555">
        <f>[2]OBC!T48/10^7+'[2]SBOP-MTL'!M16/10^7</f>
        <v>18.376081200000002</v>
      </c>
    </row>
    <row r="52" spans="2:9">
      <c r="B52" s="528">
        <v>2</v>
      </c>
      <c r="C52" s="576" t="s">
        <v>378</v>
      </c>
      <c r="D52" s="91">
        <f>[2]LIC!D30/10^7</f>
        <v>179.54980040000001</v>
      </c>
      <c r="E52" s="1535"/>
      <c r="F52" s="346">
        <v>0</v>
      </c>
      <c r="G52" s="91">
        <f>[2]LIC!J30/10^7</f>
        <v>40.916633300000001</v>
      </c>
      <c r="H52" s="91">
        <f>D52+F52-G52</f>
        <v>138.63316710000001</v>
      </c>
      <c r="I52" s="82">
        <f>[2]LIC!O30/10^7</f>
        <v>17.0991542125</v>
      </c>
    </row>
    <row r="53" spans="2:9">
      <c r="B53" s="528">
        <v>3</v>
      </c>
      <c r="C53" s="576" t="s">
        <v>2757</v>
      </c>
      <c r="D53" s="91">
        <f>H41</f>
        <v>2164.5577232684855</v>
      </c>
      <c r="E53" s="1532"/>
      <c r="F53" s="91">
        <f>'[2]Funding Pattern'!H7</f>
        <v>981.58327759898464</v>
      </c>
      <c r="G53" s="91">
        <f>'[11]REC-Total'!$K$7/10^7</f>
        <v>40.837324899999999</v>
      </c>
      <c r="H53" s="91">
        <f>D53+F53-G53</f>
        <v>3105.3036759674701</v>
      </c>
      <c r="I53" s="82">
        <f>AVERAGE(D53,H53)*Interest_Rate_for_REC</f>
        <v>329.36633745224719</v>
      </c>
    </row>
    <row r="54" spans="2:9">
      <c r="B54" s="585">
        <v>4</v>
      </c>
      <c r="C54" s="346" t="s">
        <v>2804</v>
      </c>
      <c r="D54" s="91">
        <v>600</v>
      </c>
      <c r="E54" s="1532"/>
      <c r="F54" s="91"/>
      <c r="G54" s="91">
        <v>75</v>
      </c>
      <c r="H54" s="91">
        <v>600</v>
      </c>
      <c r="I54" s="82">
        <v>67.83</v>
      </c>
    </row>
    <row r="55" spans="2:9">
      <c r="B55" s="585">
        <v>5</v>
      </c>
      <c r="C55" s="346" t="s">
        <v>2759</v>
      </c>
      <c r="D55" s="91">
        <v>221</v>
      </c>
      <c r="E55" s="1532"/>
      <c r="F55" s="91"/>
      <c r="G55" s="91">
        <v>22</v>
      </c>
      <c r="H55" s="91">
        <f>D55-G55</f>
        <v>199</v>
      </c>
      <c r="I55" s="82">
        <v>19</v>
      </c>
    </row>
    <row r="56" spans="2:9">
      <c r="B56" s="528"/>
      <c r="C56" s="576"/>
      <c r="D56" s="530">
        <f>SUM(D51:D55)</f>
        <v>3358.6669520684854</v>
      </c>
      <c r="E56" s="346"/>
      <c r="F56" s="530">
        <f>SUM(F51:F53)</f>
        <v>981.58327759898464</v>
      </c>
      <c r="G56" s="530">
        <f>SUM(G51:G55)</f>
        <v>247.03738659999999</v>
      </c>
      <c r="H56" s="530">
        <f>SUM(H51:H55)</f>
        <v>4168.2128430674702</v>
      </c>
      <c r="I56" s="533">
        <f>SUM(I51:I55)</f>
        <v>451.67157286474719</v>
      </c>
    </row>
    <row r="57" spans="2:9">
      <c r="B57" s="528"/>
      <c r="C57" s="2560" t="s">
        <v>2623</v>
      </c>
      <c r="D57" s="2560"/>
      <c r="E57" s="2560"/>
      <c r="F57" s="2560"/>
      <c r="G57" s="2560"/>
      <c r="H57" s="2561"/>
      <c r="I57" s="82">
        <f>'F21 R'!J29</f>
        <v>10</v>
      </c>
    </row>
    <row r="58" spans="2:9" ht="16.5" thickBot="1">
      <c r="B58" s="529"/>
      <c r="C58" s="2562" t="s">
        <v>197</v>
      </c>
      <c r="D58" s="2562"/>
      <c r="E58" s="2562"/>
      <c r="F58" s="2562"/>
      <c r="G58" s="2562"/>
      <c r="H58" s="2563"/>
      <c r="I58" s="1481">
        <f>I56-I57</f>
        <v>441.67157286474719</v>
      </c>
    </row>
  </sheetData>
  <mergeCells count="18">
    <mergeCell ref="B2:I2"/>
    <mergeCell ref="B3:I3"/>
    <mergeCell ref="C23:H23"/>
    <mergeCell ref="B5:I5"/>
    <mergeCell ref="H16:I16"/>
    <mergeCell ref="C22:H22"/>
    <mergeCell ref="D6:F6"/>
    <mergeCell ref="H4:I4"/>
    <mergeCell ref="H49:I49"/>
    <mergeCell ref="C57:H57"/>
    <mergeCell ref="C58:H58"/>
    <mergeCell ref="C45:H45"/>
    <mergeCell ref="H25:I25"/>
    <mergeCell ref="C31:H31"/>
    <mergeCell ref="C32:H32"/>
    <mergeCell ref="B33:I33"/>
    <mergeCell ref="H37:I37"/>
    <mergeCell ref="C46:H46"/>
  </mergeCells>
  <printOptions horizontalCentered="1"/>
  <pageMargins left="0.7" right="0.7" top="0.75" bottom="0.75" header="0.3" footer="0.3"/>
  <pageSetup paperSize="9" scale="92" firstPageNumber="16" orientation="landscape" useFirstPageNumber="1" r:id="rId1"/>
  <headerFoot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B1:V23"/>
  <sheetViews>
    <sheetView view="pageBreakPreview" zoomScale="69" zoomScaleSheetLayoutView="69" workbookViewId="0">
      <selection activeCell="G30" sqref="G30:I30"/>
    </sheetView>
  </sheetViews>
  <sheetFormatPr defaultRowHeight="15.75"/>
  <cols>
    <col min="1" max="1" width="5.5703125" style="1794" customWidth="1"/>
    <col min="2" max="2" width="9.140625" style="1794"/>
    <col min="3" max="3" width="19" style="1794" customWidth="1"/>
    <col min="4" max="4" width="15.7109375" style="1794" hidden="1" customWidth="1"/>
    <col min="5" max="5" width="13.7109375" style="1794" hidden="1" customWidth="1"/>
    <col min="6" max="6" width="12" style="1794" hidden="1" customWidth="1"/>
    <col min="7" max="7" width="10.85546875" style="1794" hidden="1" customWidth="1"/>
    <col min="8" max="8" width="27.85546875" style="1794" customWidth="1"/>
    <col min="9" max="9" width="27.42578125" style="1794" customWidth="1"/>
    <col min="10" max="10" width="15.28515625" style="1794" hidden="1" customWidth="1"/>
    <col min="11" max="11" width="16.85546875" style="1794" hidden="1" customWidth="1"/>
    <col min="12" max="12" width="13.7109375" style="1794" hidden="1" customWidth="1"/>
    <col min="13" max="13" width="12.7109375" style="1794" hidden="1" customWidth="1"/>
    <col min="14" max="14" width="17" style="1794" hidden="1" customWidth="1"/>
    <col min="15" max="15" width="18.140625" style="1794" hidden="1" customWidth="1"/>
    <col min="16" max="16" width="6.42578125" style="1794" customWidth="1"/>
    <col min="17" max="21" width="9.140625" style="1794"/>
    <col min="22" max="22" width="0" style="1794" hidden="1" customWidth="1"/>
    <col min="23" max="16384" width="9.140625" style="1794"/>
  </cols>
  <sheetData>
    <row r="1" spans="2:15">
      <c r="K1" s="1830"/>
    </row>
    <row r="2" spans="2:15" ht="15.75" customHeight="1">
      <c r="B2" s="2434" t="s">
        <v>2549</v>
      </c>
      <c r="C2" s="2434"/>
      <c r="D2" s="2434"/>
      <c r="E2" s="2434"/>
      <c r="F2" s="2434"/>
      <c r="G2" s="2434"/>
      <c r="H2" s="2434"/>
      <c r="I2" s="2434"/>
      <c r="J2" s="10"/>
      <c r="K2" s="10"/>
      <c r="L2" s="10"/>
      <c r="M2" s="10"/>
      <c r="N2" s="10"/>
      <c r="O2" s="10"/>
    </row>
    <row r="3" spans="2:15" ht="15.75" customHeight="1">
      <c r="B3" s="2569" t="s">
        <v>2689</v>
      </c>
      <c r="C3" s="2569"/>
      <c r="D3" s="2569"/>
      <c r="E3" s="2569"/>
      <c r="F3" s="2569"/>
      <c r="G3" s="2569"/>
      <c r="H3" s="2569"/>
      <c r="I3" s="2569"/>
      <c r="J3" s="1646"/>
      <c r="K3" s="1646"/>
      <c r="L3" s="1646"/>
      <c r="M3" s="1646"/>
      <c r="N3" s="1646"/>
      <c r="O3" s="1646"/>
    </row>
    <row r="4" spans="2:15">
      <c r="C4" s="1843"/>
      <c r="D4" s="1843"/>
      <c r="E4" s="1843"/>
      <c r="F4" s="1843"/>
      <c r="G4" s="1843"/>
      <c r="H4" s="1843"/>
      <c r="I4" s="1843"/>
      <c r="J4" s="119"/>
      <c r="K4" s="119"/>
    </row>
    <row r="5" spans="2:15">
      <c r="B5" s="2573" t="s">
        <v>2586</v>
      </c>
      <c r="C5" s="2573"/>
      <c r="D5" s="2573"/>
      <c r="E5" s="2573"/>
      <c r="F5" s="2573"/>
      <c r="G5" s="2573"/>
      <c r="H5" s="2573"/>
      <c r="I5" s="2573"/>
      <c r="J5" s="2573"/>
      <c r="K5" s="2573"/>
      <c r="L5" s="2573"/>
      <c r="M5" s="2573"/>
      <c r="N5" s="2573"/>
      <c r="O5" s="2573"/>
    </row>
    <row r="6" spans="2:15" ht="15.75" customHeight="1">
      <c r="B6" s="2573" t="s">
        <v>243</v>
      </c>
      <c r="C6" s="2573"/>
      <c r="D6" s="2573"/>
      <c r="E6" s="2573"/>
      <c r="F6" s="2573"/>
      <c r="G6" s="2573"/>
      <c r="H6" s="2573"/>
      <c r="I6" s="2573"/>
      <c r="J6" s="2573"/>
      <c r="K6" s="2573"/>
      <c r="L6" s="2573"/>
      <c r="M6" s="2573"/>
      <c r="N6" s="2573"/>
      <c r="O6" s="2573"/>
    </row>
    <row r="7" spans="2:15" ht="15.75" hidden="1" customHeight="1">
      <c r="C7" s="2577" t="s">
        <v>231</v>
      </c>
      <c r="D7" s="2574" t="s">
        <v>232</v>
      </c>
      <c r="E7" s="2574"/>
      <c r="F7" s="2574"/>
      <c r="G7" s="2574"/>
      <c r="H7" s="2574" t="s">
        <v>234</v>
      </c>
      <c r="I7" s="2574"/>
      <c r="J7" s="2574"/>
      <c r="K7" s="611"/>
    </row>
    <row r="8" spans="2:15" hidden="1">
      <c r="C8" s="2577"/>
      <c r="D8" s="2574" t="s">
        <v>233</v>
      </c>
      <c r="E8" s="2574"/>
      <c r="F8" s="2574"/>
      <c r="G8" s="2574"/>
      <c r="H8" s="2574" t="s">
        <v>235</v>
      </c>
      <c r="I8" s="2574"/>
      <c r="J8" s="2574"/>
      <c r="K8" s="611"/>
    </row>
    <row r="9" spans="2:15" hidden="1">
      <c r="C9" s="2083"/>
      <c r="D9" s="2083" t="s">
        <v>236</v>
      </c>
      <c r="E9" s="2083" t="s">
        <v>237</v>
      </c>
      <c r="F9" s="2083" t="s">
        <v>238</v>
      </c>
      <c r="G9" s="2083" t="s">
        <v>239</v>
      </c>
      <c r="H9" s="2083" t="s">
        <v>240</v>
      </c>
      <c r="I9" s="2083" t="s">
        <v>237</v>
      </c>
      <c r="J9" s="2083" t="s">
        <v>281</v>
      </c>
      <c r="K9" s="615"/>
    </row>
    <row r="10" spans="2:15" hidden="1">
      <c r="C10" s="2084" t="s">
        <v>241</v>
      </c>
      <c r="D10" s="2085">
        <v>99.81</v>
      </c>
      <c r="E10" s="2085">
        <v>99.91</v>
      </c>
      <c r="F10" s="2085">
        <v>99.88</v>
      </c>
      <c r="G10" s="2085">
        <v>99.64</v>
      </c>
      <c r="H10" s="2085">
        <v>99.83</v>
      </c>
      <c r="I10" s="2085">
        <v>99.77</v>
      </c>
      <c r="J10" s="2085">
        <v>99.64</v>
      </c>
      <c r="K10" s="619"/>
    </row>
    <row r="11" spans="2:15" hidden="1">
      <c r="C11" s="2084" t="s">
        <v>242</v>
      </c>
      <c r="D11" s="2085">
        <v>99.84</v>
      </c>
      <c r="E11" s="2085">
        <v>99.57</v>
      </c>
      <c r="F11" s="2085">
        <v>99.81</v>
      </c>
      <c r="G11" s="2085">
        <v>99.82</v>
      </c>
      <c r="H11" s="2085">
        <v>99.88</v>
      </c>
      <c r="I11" s="2085">
        <v>99.86</v>
      </c>
      <c r="J11" s="2085">
        <v>99.76</v>
      </c>
      <c r="K11" s="619"/>
    </row>
    <row r="12" spans="2:15" ht="16.5" thickBot="1">
      <c r="D12" s="2086"/>
      <c r="E12" s="2086"/>
      <c r="F12" s="2086"/>
      <c r="G12" s="2086"/>
      <c r="H12" s="2086"/>
      <c r="I12" s="2086"/>
      <c r="J12" s="2086"/>
      <c r="K12" s="623"/>
    </row>
    <row r="13" spans="2:15" ht="21.75" customHeight="1">
      <c r="B13" s="2578" t="s">
        <v>1003</v>
      </c>
      <c r="C13" s="2570" t="s">
        <v>331</v>
      </c>
      <c r="D13" s="2570" t="s">
        <v>1359</v>
      </c>
      <c r="E13" s="2570"/>
      <c r="F13" s="2570"/>
      <c r="G13" s="2570"/>
      <c r="H13" s="2570" t="s">
        <v>2594</v>
      </c>
      <c r="I13" s="2571"/>
      <c r="J13" s="1831"/>
      <c r="K13" s="1832"/>
      <c r="L13" s="2572" t="s">
        <v>2595</v>
      </c>
      <c r="M13" s="2572"/>
      <c r="N13" s="2572"/>
      <c r="O13" s="2572"/>
    </row>
    <row r="14" spans="2:15" ht="37.5" customHeight="1">
      <c r="B14" s="2579"/>
      <c r="C14" s="2446"/>
      <c r="D14" s="2155" t="s">
        <v>236</v>
      </c>
      <c r="E14" s="2155" t="s">
        <v>237</v>
      </c>
      <c r="F14" s="2155" t="s">
        <v>238</v>
      </c>
      <c r="G14" s="2155" t="s">
        <v>239</v>
      </c>
      <c r="H14" s="2155" t="s">
        <v>236</v>
      </c>
      <c r="I14" s="2156" t="s">
        <v>237</v>
      </c>
      <c r="J14" s="1833" t="s">
        <v>281</v>
      </c>
      <c r="K14" s="1805" t="s">
        <v>2589</v>
      </c>
      <c r="L14" s="1800" t="s">
        <v>236</v>
      </c>
      <c r="M14" s="1800" t="s">
        <v>237</v>
      </c>
      <c r="N14" s="1800" t="s">
        <v>238</v>
      </c>
      <c r="O14" s="1800" t="s">
        <v>239</v>
      </c>
    </row>
    <row r="15" spans="2:15">
      <c r="B15" s="587">
        <v>1</v>
      </c>
      <c r="C15" s="346" t="s">
        <v>1363</v>
      </c>
      <c r="D15" s="2087">
        <f>'F22_data_P &amp; M'!D14</f>
        <v>99.91</v>
      </c>
      <c r="E15" s="2087">
        <f>'F22_data_P &amp; M'!E14</f>
        <v>99.91</v>
      </c>
      <c r="F15" s="2087">
        <f>'F22_data_P &amp; M'!F14</f>
        <v>99.88</v>
      </c>
      <c r="G15" s="2087">
        <f>'F22_data_P &amp; M'!G14</f>
        <v>99.64</v>
      </c>
      <c r="H15" s="1471">
        <f>'F22_data_P &amp; M'!H14</f>
        <v>99.86</v>
      </c>
      <c r="I15" s="1640">
        <f>'F22_data_P &amp; M'!I14</f>
        <v>99.9</v>
      </c>
      <c r="J15" s="2088">
        <f>'F22_data_P &amp; M'!J14</f>
        <v>99.84</v>
      </c>
      <c r="K15" s="1640">
        <f>'F22_data_P &amp; M'!K14</f>
        <v>99.9</v>
      </c>
      <c r="L15" s="2089">
        <f>'F22_data_P &amp; M'!L14</f>
        <v>99.78</v>
      </c>
      <c r="M15" s="2089">
        <f>'F22_data_P &amp; M'!M14</f>
        <v>99.93</v>
      </c>
      <c r="N15" s="2089">
        <f>'F22_data_P &amp; M'!N14</f>
        <v>99.94</v>
      </c>
      <c r="O15" s="2089">
        <f>'F22_data_P &amp; M'!O14</f>
        <v>99.91</v>
      </c>
    </row>
    <row r="16" spans="2:15" ht="16.5" thickBot="1">
      <c r="B16" s="604">
        <v>2</v>
      </c>
      <c r="C16" s="349" t="s">
        <v>1364</v>
      </c>
      <c r="D16" s="2090">
        <f>'F22_data_P &amp; M'!D15</f>
        <v>99.84</v>
      </c>
      <c r="E16" s="2090">
        <f>'F22_data_P &amp; M'!E15</f>
        <v>99.57</v>
      </c>
      <c r="F16" s="2090">
        <f>'F22_data_P &amp; M'!F15</f>
        <v>99.91</v>
      </c>
      <c r="G16" s="2090">
        <f>'F22_data_P &amp; M'!G15</f>
        <v>99.82</v>
      </c>
      <c r="H16" s="2091">
        <f>'F22_data_P &amp; M'!H15</f>
        <v>99.5</v>
      </c>
      <c r="I16" s="2092">
        <f>'F22_data_P &amp; M'!I15</f>
        <v>99.84</v>
      </c>
      <c r="J16" s="2093">
        <f>'F22_data_P &amp; M'!J15</f>
        <v>99.6</v>
      </c>
      <c r="K16" s="2092">
        <f>'F22_data_P &amp; M'!K15</f>
        <v>99.6</v>
      </c>
      <c r="L16" s="2089">
        <f>'F22_data_P &amp; M'!L15</f>
        <v>99.82</v>
      </c>
      <c r="M16" s="2089">
        <f>'F22_data_P &amp; M'!M15</f>
        <v>99.84</v>
      </c>
      <c r="N16" s="2089">
        <f>'F22_data_P &amp; M'!N15</f>
        <v>99.69</v>
      </c>
      <c r="O16" s="2089">
        <f>'F22_data_P &amp; M'!O15</f>
        <v>99.9</v>
      </c>
    </row>
    <row r="17" spans="2:22">
      <c r="V17" s="1794">
        <v>100</v>
      </c>
    </row>
    <row r="19" spans="2:22" hidden="1"/>
    <row r="20" spans="2:22" hidden="1">
      <c r="B20" s="2576" t="s">
        <v>1003</v>
      </c>
      <c r="C20" s="2576" t="s">
        <v>331</v>
      </c>
      <c r="D20" s="2575" t="s">
        <v>1359</v>
      </c>
      <c r="E20" s="2575"/>
      <c r="F20" s="2575"/>
      <c r="G20" s="2575"/>
      <c r="H20" s="2575" t="s">
        <v>1361</v>
      </c>
      <c r="I20" s="2575"/>
      <c r="J20" s="2575"/>
    </row>
    <row r="21" spans="2:22" hidden="1">
      <c r="B21" s="2576"/>
      <c r="C21" s="2576"/>
      <c r="D21" s="1799" t="s">
        <v>236</v>
      </c>
      <c r="E21" s="1799" t="s">
        <v>237</v>
      </c>
      <c r="F21" s="1799" t="s">
        <v>238</v>
      </c>
      <c r="G21" s="1799" t="s">
        <v>239</v>
      </c>
      <c r="H21" s="1799" t="s">
        <v>236</v>
      </c>
      <c r="I21" s="1799" t="s">
        <v>237</v>
      </c>
      <c r="J21" s="1799" t="s">
        <v>281</v>
      </c>
    </row>
    <row r="22" spans="2:22" hidden="1">
      <c r="B22" s="2086">
        <v>1</v>
      </c>
      <c r="C22" s="1794" t="s">
        <v>1363</v>
      </c>
      <c r="D22" s="2086">
        <f>D15</f>
        <v>99.91</v>
      </c>
      <c r="E22" s="2086">
        <f t="shared" ref="E22:J22" si="0">E15</f>
        <v>99.91</v>
      </c>
      <c r="F22" s="2086">
        <f t="shared" si="0"/>
        <v>99.88</v>
      </c>
      <c r="G22" s="2086">
        <f t="shared" si="0"/>
        <v>99.64</v>
      </c>
      <c r="H22" s="2086">
        <f t="shared" si="0"/>
        <v>99.86</v>
      </c>
      <c r="I22" s="2086">
        <f t="shared" si="0"/>
        <v>99.9</v>
      </c>
      <c r="J22" s="2086">
        <f t="shared" si="0"/>
        <v>99.84</v>
      </c>
    </row>
    <row r="23" spans="2:22" hidden="1">
      <c r="B23" s="2086">
        <v>2</v>
      </c>
      <c r="C23" s="1794" t="s">
        <v>1364</v>
      </c>
      <c r="D23" s="2086">
        <f>D16</f>
        <v>99.84</v>
      </c>
      <c r="E23" s="2086">
        <f t="shared" ref="E23:J23" si="1">E16</f>
        <v>99.57</v>
      </c>
      <c r="F23" s="2086">
        <f t="shared" si="1"/>
        <v>99.91</v>
      </c>
      <c r="G23" s="2086">
        <f t="shared" si="1"/>
        <v>99.82</v>
      </c>
      <c r="H23" s="2086">
        <f t="shared" si="1"/>
        <v>99.5</v>
      </c>
      <c r="I23" s="2086">
        <f t="shared" si="1"/>
        <v>99.84</v>
      </c>
      <c r="J23" s="2086">
        <f t="shared" si="1"/>
        <v>99.6</v>
      </c>
    </row>
  </sheetData>
  <sheetProtection selectLockedCells="1" selectUnlockedCells="1"/>
  <mergeCells count="18">
    <mergeCell ref="H20:J20"/>
    <mergeCell ref="B20:B21"/>
    <mergeCell ref="C7:C8"/>
    <mergeCell ref="D7:G7"/>
    <mergeCell ref="D8:G8"/>
    <mergeCell ref="D20:G20"/>
    <mergeCell ref="C20:C21"/>
    <mergeCell ref="B13:B14"/>
    <mergeCell ref="C13:C14"/>
    <mergeCell ref="D13:G13"/>
    <mergeCell ref="B3:I3"/>
    <mergeCell ref="B2:I2"/>
    <mergeCell ref="H13:I13"/>
    <mergeCell ref="L13:O13"/>
    <mergeCell ref="B5:O5"/>
    <mergeCell ref="B6:O6"/>
    <mergeCell ref="H7:J7"/>
    <mergeCell ref="H8:J8"/>
  </mergeCells>
  <phoneticPr fontId="14" type="noConversion"/>
  <printOptions horizontalCentered="1"/>
  <pageMargins left="0.7" right="0.7" top="0.75" bottom="0.75" header="0.3" footer="0.3"/>
  <pageSetup paperSize="9" firstPageNumber="17" orientation="landscape" useFirstPageNumber="1" r:id="rId1"/>
  <headerFooter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"/>
  <sheetViews>
    <sheetView view="pageBreakPreview" zoomScale="69" zoomScaleSheetLayoutView="69" workbookViewId="0">
      <selection activeCell="G30" sqref="G30:I30"/>
    </sheetView>
  </sheetViews>
  <sheetFormatPr defaultRowHeight="15.75"/>
  <cols>
    <col min="1" max="1" width="6" style="1" customWidth="1"/>
    <col min="2" max="2" width="9.140625" style="1"/>
    <col min="3" max="3" width="33.140625" style="1" customWidth="1"/>
    <col min="4" max="4" width="12.28515625" style="1" hidden="1" customWidth="1"/>
    <col min="5" max="5" width="10.140625" style="1" hidden="1" customWidth="1"/>
    <col min="6" max="6" width="12" style="1" hidden="1" customWidth="1"/>
    <col min="7" max="7" width="10.85546875" style="1" hidden="1" customWidth="1"/>
    <col min="8" max="8" width="18" style="1" customWidth="1"/>
    <col min="9" max="9" width="12.42578125" style="1" customWidth="1"/>
    <col min="10" max="10" width="18.28515625" style="1" customWidth="1"/>
    <col min="11" max="11" width="21.140625" style="1" customWidth="1"/>
    <col min="12" max="12" width="21.7109375" style="1" customWidth="1"/>
    <col min="13" max="13" width="36.42578125" style="1" customWidth="1"/>
    <col min="14" max="14" width="11.5703125" style="1" customWidth="1"/>
    <col min="15" max="16384" width="9.140625" style="1"/>
  </cols>
  <sheetData>
    <row r="1" spans="2:13">
      <c r="K1" s="1854"/>
    </row>
    <row r="2" spans="2:13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</row>
    <row r="3" spans="2:13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</row>
    <row r="5" spans="2:13">
      <c r="B5" s="2541" t="s">
        <v>2588</v>
      </c>
      <c r="C5" s="2541"/>
      <c r="D5" s="2541"/>
      <c r="E5" s="2541"/>
      <c r="F5" s="2541"/>
      <c r="G5" s="2541"/>
      <c r="H5" s="2541"/>
      <c r="I5" s="2541"/>
      <c r="J5" s="2541"/>
      <c r="K5" s="2541"/>
      <c r="L5" s="2541"/>
      <c r="M5" s="2541"/>
    </row>
    <row r="6" spans="2:13">
      <c r="B6" s="2541" t="s">
        <v>1410</v>
      </c>
      <c r="C6" s="2541"/>
      <c r="D6" s="2541"/>
      <c r="E6" s="2541"/>
      <c r="F6" s="2541"/>
      <c r="G6" s="2541"/>
      <c r="H6" s="2541"/>
      <c r="I6" s="2541"/>
      <c r="J6" s="2541"/>
      <c r="K6" s="2541"/>
      <c r="L6" s="2541"/>
      <c r="M6" s="2541"/>
    </row>
    <row r="7" spans="2:13" ht="16.5" thickBot="1">
      <c r="D7" s="1" t="s">
        <v>1402</v>
      </c>
    </row>
    <row r="8" spans="2:13">
      <c r="B8" s="2448" t="s">
        <v>349</v>
      </c>
      <c r="C8" s="2450" t="s">
        <v>331</v>
      </c>
      <c r="D8" s="2450" t="s">
        <v>1034</v>
      </c>
      <c r="E8" s="2450"/>
      <c r="F8" s="2450"/>
      <c r="G8" s="2450"/>
      <c r="H8" s="2450" t="s">
        <v>2591</v>
      </c>
      <c r="I8" s="2450"/>
      <c r="J8" s="2450"/>
      <c r="K8" s="2450"/>
      <c r="L8" s="2450"/>
      <c r="M8" s="2142" t="s">
        <v>2592</v>
      </c>
    </row>
    <row r="9" spans="2:13" ht="55.5" customHeight="1">
      <c r="B9" s="2449"/>
      <c r="C9" s="2451"/>
      <c r="D9" s="2140" t="s">
        <v>1228</v>
      </c>
      <c r="E9" s="2144" t="s">
        <v>1036</v>
      </c>
      <c r="F9" s="2140" t="s">
        <v>1038</v>
      </c>
      <c r="G9" s="2144" t="s">
        <v>1037</v>
      </c>
      <c r="H9" s="2140" t="s">
        <v>1035</v>
      </c>
      <c r="I9" s="2144" t="s">
        <v>1036</v>
      </c>
      <c r="J9" s="2144" t="s">
        <v>1229</v>
      </c>
      <c r="K9" s="2144" t="s">
        <v>2568</v>
      </c>
      <c r="L9" s="2140" t="s">
        <v>1404</v>
      </c>
      <c r="M9" s="2141" t="s">
        <v>1040</v>
      </c>
    </row>
    <row r="10" spans="2:13">
      <c r="B10" s="2145"/>
      <c r="C10" s="2144" t="s">
        <v>2553</v>
      </c>
      <c r="D10" s="2140">
        <v>1</v>
      </c>
      <c r="E10" s="2140">
        <v>2</v>
      </c>
      <c r="F10" s="2140">
        <v>3</v>
      </c>
      <c r="G10" s="2140">
        <v>4</v>
      </c>
      <c r="H10" s="2140">
        <v>1</v>
      </c>
      <c r="I10" s="2140">
        <v>2</v>
      </c>
      <c r="J10" s="2140">
        <v>3</v>
      </c>
      <c r="K10" s="2140">
        <v>4</v>
      </c>
      <c r="L10" s="2140">
        <v>5</v>
      </c>
      <c r="M10" s="2141">
        <v>6</v>
      </c>
    </row>
    <row r="11" spans="2:13" ht="16.5" thickBot="1">
      <c r="B11" s="604">
        <v>1</v>
      </c>
      <c r="C11" s="349" t="s">
        <v>1402</v>
      </c>
      <c r="D11" s="2094">
        <v>5.0500000000000003E-2</v>
      </c>
      <c r="E11" s="2094">
        <v>2.5000000000000001E-2</v>
      </c>
      <c r="F11" s="1801" t="s">
        <v>1320</v>
      </c>
      <c r="G11" s="349"/>
      <c r="H11" s="2095">
        <v>4.4999999999999998E-2</v>
      </c>
      <c r="I11" s="2095">
        <v>2.5000000000000001E-2</v>
      </c>
      <c r="J11" s="2096"/>
      <c r="K11" s="2097">
        <v>4.4999999999999998E-2</v>
      </c>
      <c r="L11" s="2097">
        <v>4.4999999999999998E-2</v>
      </c>
      <c r="M11" s="2098">
        <v>4.4999999999999998E-2</v>
      </c>
    </row>
    <row r="13" spans="2:13" hidden="1">
      <c r="B13" s="1" t="s">
        <v>1321</v>
      </c>
    </row>
  </sheetData>
  <sheetProtection selectLockedCells="1" selectUnlockedCells="1"/>
  <mergeCells count="8">
    <mergeCell ref="B2:M2"/>
    <mergeCell ref="B3:M3"/>
    <mergeCell ref="B5:M5"/>
    <mergeCell ref="B6:M6"/>
    <mergeCell ref="D8:G8"/>
    <mergeCell ref="H8:L8"/>
    <mergeCell ref="C8:C9"/>
    <mergeCell ref="B8:B9"/>
  </mergeCells>
  <printOptions horizontalCentered="1"/>
  <pageMargins left="0.7" right="0.7" top="0.75" bottom="0.75" header="0.3" footer="0.3"/>
  <pageSetup paperSize="9" scale="77" firstPageNumber="18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09"/>
  <sheetViews>
    <sheetView zoomScale="69" zoomScaleNormal="69" workbookViewId="0">
      <selection activeCell="B2" sqref="B2:AB4"/>
    </sheetView>
  </sheetViews>
  <sheetFormatPr defaultRowHeight="15"/>
  <cols>
    <col min="1" max="1" width="9.140625" style="1652"/>
    <col min="2" max="2" width="15" style="1652" customWidth="1"/>
    <col min="3" max="3" width="30.28515625" style="1652" customWidth="1"/>
    <col min="4" max="4" width="13.42578125" style="1652" bestFit="1" customWidth="1"/>
    <col min="5" max="5" width="17.28515625" style="1652" customWidth="1"/>
    <col min="6" max="6" width="15" style="1652" customWidth="1"/>
    <col min="7" max="7" width="35.28515625" style="1652" customWidth="1"/>
    <col min="8" max="8" width="12.140625" style="1652" customWidth="1"/>
    <col min="9" max="13" width="9.140625" style="1652"/>
    <col min="14" max="14" width="27.5703125" style="1652" customWidth="1"/>
    <col min="15" max="15" width="57.7109375" style="1652" customWidth="1"/>
    <col min="16" max="16384" width="9.140625" style="1652"/>
  </cols>
  <sheetData>
    <row r="1" spans="2:11" ht="15.75" thickBot="1"/>
    <row r="2" spans="2:11" ht="15.75" thickBot="1">
      <c r="B2" s="2352" t="s">
        <v>1003</v>
      </c>
      <c r="C2" s="2355" t="s">
        <v>282</v>
      </c>
      <c r="D2" s="2361" t="s">
        <v>2539</v>
      </c>
      <c r="E2" s="2362"/>
      <c r="F2" s="2362"/>
      <c r="G2" s="2369"/>
      <c r="H2" s="2370" t="s">
        <v>2540</v>
      </c>
      <c r="I2" s="2359"/>
      <c r="J2" s="2359"/>
      <c r="K2" s="2360"/>
    </row>
    <row r="3" spans="2:11" ht="30" thickBot="1">
      <c r="B3" s="2353"/>
      <c r="C3" s="2356"/>
      <c r="D3" s="2361" t="s">
        <v>1752</v>
      </c>
      <c r="E3" s="2362"/>
      <c r="F3" s="2363"/>
      <c r="G3" s="1754" t="s">
        <v>2590</v>
      </c>
      <c r="H3" s="2361" t="s">
        <v>1752</v>
      </c>
      <c r="I3" s="2362"/>
      <c r="J3" s="2369"/>
      <c r="K3" s="1754" t="s">
        <v>2590</v>
      </c>
    </row>
    <row r="4" spans="2:11" ht="30" thickBot="1">
      <c r="B4" s="2354"/>
      <c r="C4" s="2356"/>
      <c r="D4" s="1763" t="s">
        <v>1035</v>
      </c>
      <c r="E4" s="1763" t="s">
        <v>1036</v>
      </c>
      <c r="F4" s="1763" t="s">
        <v>2508</v>
      </c>
      <c r="G4" s="1763" t="s">
        <v>1040</v>
      </c>
      <c r="H4" s="1754" t="s">
        <v>1035</v>
      </c>
      <c r="I4" s="1754" t="s">
        <v>1036</v>
      </c>
      <c r="J4" s="1754" t="s">
        <v>2508</v>
      </c>
      <c r="K4" s="1754" t="s">
        <v>1040</v>
      </c>
    </row>
    <row r="5" spans="2:11" ht="15.75" thickBot="1">
      <c r="B5" s="1752">
        <v>1</v>
      </c>
      <c r="C5" s="1762" t="s">
        <v>2744</v>
      </c>
      <c r="D5" s="1761" t="e">
        <f>#REF!</f>
        <v>#REF!</v>
      </c>
      <c r="E5" s="1761" t="e">
        <f>#REF!</f>
        <v>#REF!</v>
      </c>
      <c r="F5" s="1761" t="e">
        <f>#REF!</f>
        <v>#REF!</v>
      </c>
      <c r="G5" s="1761" t="e">
        <f>#REF!</f>
        <v>#REF!</v>
      </c>
      <c r="H5" s="1756" t="e">
        <f>#REF!</f>
        <v>#REF!</v>
      </c>
      <c r="I5" s="1756" t="e">
        <f>#REF!</f>
        <v>#REF!</v>
      </c>
      <c r="J5" s="1756" t="e">
        <f>#REF!</f>
        <v>#REF!</v>
      </c>
      <c r="K5" s="1756" t="e">
        <f>#REF!</f>
        <v>#REF!</v>
      </c>
    </row>
    <row r="6" spans="2:11" ht="15.75" thickBot="1">
      <c r="B6" s="1752">
        <v>2</v>
      </c>
      <c r="C6" s="1759" t="s">
        <v>2745</v>
      </c>
      <c r="D6" s="1756" t="e">
        <f>#REF!</f>
        <v>#REF!</v>
      </c>
      <c r="E6" s="1756" t="e">
        <f>#REF!</f>
        <v>#REF!</v>
      </c>
      <c r="F6" s="1756" t="e">
        <f>#REF!</f>
        <v>#REF!</v>
      </c>
      <c r="G6" s="1756" t="e">
        <f>#REF!</f>
        <v>#REF!</v>
      </c>
      <c r="H6" s="1756" t="e">
        <f>#REF!</f>
        <v>#REF!</v>
      </c>
      <c r="I6" s="1756" t="e">
        <f>#REF!</f>
        <v>#REF!</v>
      </c>
      <c r="J6" s="1756" t="e">
        <f>#REF!</f>
        <v>#REF!</v>
      </c>
      <c r="K6" s="1756" t="e">
        <f>#REF!</f>
        <v>#REF!</v>
      </c>
    </row>
    <row r="7" spans="2:11" ht="15.75" thickBot="1">
      <c r="B7" s="1752">
        <v>3</v>
      </c>
      <c r="C7" s="1759" t="s">
        <v>2746</v>
      </c>
      <c r="D7" s="1756" t="e">
        <f>#REF!</f>
        <v>#REF!</v>
      </c>
      <c r="E7" s="1756" t="e">
        <f>#REF!</f>
        <v>#REF!</v>
      </c>
      <c r="F7" s="1756" t="e">
        <f>#REF!</f>
        <v>#REF!</v>
      </c>
      <c r="G7" s="1756" t="e">
        <f>#REF!</f>
        <v>#REF!</v>
      </c>
      <c r="H7" s="1756" t="e">
        <f>#REF!</f>
        <v>#REF!</v>
      </c>
      <c r="I7" s="1756" t="e">
        <f>#REF!</f>
        <v>#REF!</v>
      </c>
      <c r="J7" s="1756" t="e">
        <f>#REF!</f>
        <v>#REF!</v>
      </c>
      <c r="K7" s="1756" t="e">
        <f>#REF!</f>
        <v>#REF!</v>
      </c>
    </row>
    <row r="8" spans="2:11" ht="15.75" thickBot="1">
      <c r="B8" s="1752">
        <v>4</v>
      </c>
      <c r="C8" s="1762" t="s">
        <v>384</v>
      </c>
      <c r="D8" s="1761" t="e">
        <f>#REF!</f>
        <v>#REF!</v>
      </c>
      <c r="E8" s="1760" t="e">
        <f>#REF!</f>
        <v>#REF!</v>
      </c>
      <c r="F8" s="1761" t="e">
        <f>#REF!</f>
        <v>#REF!</v>
      </c>
      <c r="G8" s="1760" t="e">
        <f>#REF!</f>
        <v>#REF!</v>
      </c>
      <c r="H8" s="1756" t="e">
        <f>#REF!</f>
        <v>#REF!</v>
      </c>
      <c r="I8" s="1756" t="e">
        <f>#REF!</f>
        <v>#REF!</v>
      </c>
      <c r="J8" s="1756" t="e">
        <f>#REF!</f>
        <v>#REF!</v>
      </c>
      <c r="K8" s="1756" t="e">
        <f>#REF!</f>
        <v>#REF!</v>
      </c>
    </row>
    <row r="9" spans="2:11" ht="15.75" thickBot="1">
      <c r="B9" s="1752">
        <v>5</v>
      </c>
      <c r="C9" s="1759" t="s">
        <v>385</v>
      </c>
      <c r="D9" s="1756" t="e">
        <f>#REF!</f>
        <v>#REF!</v>
      </c>
      <c r="E9" s="1758" t="e">
        <f>#REF!</f>
        <v>#REF!</v>
      </c>
      <c r="F9" s="1756" t="e">
        <f>#REF!</f>
        <v>#REF!</v>
      </c>
      <c r="G9" s="1758" t="e">
        <f>#REF!</f>
        <v>#REF!</v>
      </c>
      <c r="H9" s="1756" t="e">
        <f>#REF!</f>
        <v>#REF!</v>
      </c>
      <c r="I9" s="1756" t="e">
        <f>#REF!</f>
        <v>#REF!</v>
      </c>
      <c r="J9" s="1756" t="e">
        <f>#REF!</f>
        <v>#REF!</v>
      </c>
      <c r="K9" s="1756" t="e">
        <f>#REF!</f>
        <v>#REF!</v>
      </c>
    </row>
    <row r="10" spans="2:11" ht="15.75" thickBot="1">
      <c r="B10" s="1752">
        <v>6</v>
      </c>
      <c r="C10" s="1762" t="s">
        <v>340</v>
      </c>
      <c r="D10" s="1761" t="e">
        <f>#REF!</f>
        <v>#REF!</v>
      </c>
      <c r="E10" s="1760" t="e">
        <f>#REF!</f>
        <v>#REF!</v>
      </c>
      <c r="F10" s="1761" t="e">
        <f>#REF!</f>
        <v>#REF!</v>
      </c>
      <c r="G10" s="1760" t="e">
        <f>#REF!</f>
        <v>#REF!</v>
      </c>
      <c r="H10" s="1756" t="e">
        <f>#REF!</f>
        <v>#REF!</v>
      </c>
      <c r="I10" s="1756" t="e">
        <f>#REF!</f>
        <v>#REF!</v>
      </c>
      <c r="J10" s="1756" t="e">
        <f>#REF!</f>
        <v>#REF!</v>
      </c>
      <c r="K10" s="1756" t="e">
        <f>#REF!</f>
        <v>#REF!</v>
      </c>
    </row>
    <row r="11" spans="2:11" ht="15.75" thickBot="1">
      <c r="B11" s="1752">
        <v>7</v>
      </c>
      <c r="C11" s="1759" t="s">
        <v>196</v>
      </c>
      <c r="D11" s="1756" t="e">
        <f>#REF!</f>
        <v>#REF!</v>
      </c>
      <c r="E11" s="1758" t="e">
        <f>#REF!</f>
        <v>#REF!</v>
      </c>
      <c r="F11" s="1756" t="e">
        <f>#REF!</f>
        <v>#REF!</v>
      </c>
      <c r="G11" s="1758" t="e">
        <f>#REF!</f>
        <v>#REF!</v>
      </c>
      <c r="H11" s="1756" t="e">
        <f>#REF!</f>
        <v>#REF!</v>
      </c>
      <c r="I11" s="1756" t="e">
        <f>#REF!</f>
        <v>#REF!</v>
      </c>
      <c r="J11" s="1756" t="e">
        <f>#REF!</f>
        <v>#REF!</v>
      </c>
      <c r="K11" s="1756" t="e">
        <f>#REF!</f>
        <v>#REF!</v>
      </c>
    </row>
    <row r="12" spans="2:11" ht="15.75" thickBot="1">
      <c r="B12" s="1752">
        <v>8</v>
      </c>
      <c r="C12" s="1762" t="s">
        <v>2530</v>
      </c>
      <c r="D12" s="1761" t="e">
        <f>#REF!</f>
        <v>#REF!</v>
      </c>
      <c r="E12" s="1760" t="e">
        <f>#REF!</f>
        <v>#REF!</v>
      </c>
      <c r="F12" s="1761" t="e">
        <f>#REF!</f>
        <v>#REF!</v>
      </c>
      <c r="G12" s="1760" t="e">
        <f>#REF!</f>
        <v>#REF!</v>
      </c>
      <c r="H12" s="1756" t="e">
        <f>#REF!</f>
        <v>#REF!</v>
      </c>
      <c r="I12" s="1756" t="e">
        <f>#REF!</f>
        <v>#REF!</v>
      </c>
      <c r="J12" s="1756" t="e">
        <f>#REF!</f>
        <v>#REF!</v>
      </c>
      <c r="K12" s="1756" t="e">
        <f>#REF!</f>
        <v>#REF!</v>
      </c>
    </row>
    <row r="13" spans="2:11" ht="30.75" thickBot="1">
      <c r="B13" s="1752">
        <v>9</v>
      </c>
      <c r="C13" s="1759" t="s">
        <v>2545</v>
      </c>
      <c r="D13" s="1756" t="e">
        <f>#REF!</f>
        <v>#REF!</v>
      </c>
      <c r="E13" s="1758" t="e">
        <f>#REF!</f>
        <v>#REF!</v>
      </c>
      <c r="F13" s="1756" t="e">
        <f>#REF!</f>
        <v>#REF!</v>
      </c>
      <c r="G13" s="1758" t="e">
        <f>#REF!</f>
        <v>#REF!</v>
      </c>
      <c r="H13" s="1756" t="e">
        <f>#REF!</f>
        <v>#REF!</v>
      </c>
      <c r="I13" s="1756" t="e">
        <f>#REF!</f>
        <v>#REF!</v>
      </c>
      <c r="J13" s="1756" t="e">
        <f>#REF!</f>
        <v>#REF!</v>
      </c>
      <c r="K13" s="1756" t="e">
        <f>#REF!</f>
        <v>#REF!</v>
      </c>
    </row>
    <row r="14" spans="2:11" ht="15.75" thickBot="1">
      <c r="B14" s="1749">
        <v>10</v>
      </c>
      <c r="C14" s="1757" t="s">
        <v>386</v>
      </c>
      <c r="D14" s="1755" t="e">
        <f>#REF!</f>
        <v>#REF!</v>
      </c>
      <c r="E14" s="1755" t="e">
        <f>#REF!</f>
        <v>#REF!</v>
      </c>
      <c r="F14" s="1755" t="e">
        <f>#REF!</f>
        <v>#REF!</v>
      </c>
      <c r="G14" s="1755" t="e">
        <f>#REF!</f>
        <v>#REF!</v>
      </c>
      <c r="H14" s="1755" t="e">
        <f>#REF!</f>
        <v>#REF!</v>
      </c>
      <c r="I14" s="1755" t="e">
        <f>#REF!</f>
        <v>#REF!</v>
      </c>
      <c r="J14" s="1755" t="e">
        <f>#REF!</f>
        <v>#REF!</v>
      </c>
      <c r="K14" s="1755" t="e">
        <f>#REF!</f>
        <v>#REF!</v>
      </c>
    </row>
    <row r="15" spans="2:11" ht="15.75" thickBot="1">
      <c r="B15" s="1752">
        <v>11</v>
      </c>
      <c r="C15" s="1753" t="s">
        <v>391</v>
      </c>
      <c r="D15" s="1756" t="e">
        <f>#REF!</f>
        <v>#REF!</v>
      </c>
      <c r="E15" s="1756" t="e">
        <f>#REF!</f>
        <v>#REF!</v>
      </c>
      <c r="F15" s="1756" t="e">
        <f>#REF!</f>
        <v>#REF!</v>
      </c>
      <c r="G15" s="1756" t="e">
        <f>#REF!</f>
        <v>#REF!</v>
      </c>
      <c r="H15" s="1756" t="e">
        <f>#REF!</f>
        <v>#REF!</v>
      </c>
      <c r="I15" s="1756" t="e">
        <f>#REF!</f>
        <v>#REF!</v>
      </c>
      <c r="J15" s="1756" t="e">
        <f>#REF!</f>
        <v>#REF!</v>
      </c>
      <c r="K15" s="1756" t="e">
        <f>#REF!</f>
        <v>#REF!</v>
      </c>
    </row>
    <row r="16" spans="2:11" ht="15.75" hidden="1" thickBot="1">
      <c r="B16" s="1752">
        <v>12</v>
      </c>
      <c r="C16" s="1753" t="s">
        <v>2536</v>
      </c>
      <c r="D16" s="1756" t="e">
        <f>#REF!</f>
        <v>#REF!</v>
      </c>
      <c r="E16" s="1756" t="e">
        <f>#REF!</f>
        <v>#REF!</v>
      </c>
      <c r="F16" s="1756" t="e">
        <f>#REF!</f>
        <v>#REF!</v>
      </c>
      <c r="G16" s="1756" t="e">
        <f>#REF!</f>
        <v>#REF!</v>
      </c>
      <c r="H16" s="1756" t="e">
        <f>#REF!</f>
        <v>#REF!</v>
      </c>
      <c r="I16" s="1756" t="e">
        <f>#REF!</f>
        <v>#REF!</v>
      </c>
      <c r="J16" s="1756" t="e">
        <f>#REF!</f>
        <v>#REF!</v>
      </c>
      <c r="K16" s="1756" t="e">
        <f>#REF!</f>
        <v>#REF!</v>
      </c>
    </row>
    <row r="17" spans="2:11" ht="30" thickBot="1">
      <c r="B17" s="1752">
        <v>12</v>
      </c>
      <c r="C17" s="1748" t="s">
        <v>2543</v>
      </c>
      <c r="D17" s="1755" t="e">
        <f>#REF!</f>
        <v>#REF!</v>
      </c>
      <c r="E17" s="1755" t="e">
        <f>#REF!</f>
        <v>#REF!</v>
      </c>
      <c r="F17" s="1755" t="e">
        <f>#REF!</f>
        <v>#REF!</v>
      </c>
      <c r="G17" s="1755" t="e">
        <f>#REF!</f>
        <v>#REF!</v>
      </c>
      <c r="H17" s="1755" t="e">
        <f>#REF!</f>
        <v>#REF!</v>
      </c>
      <c r="I17" s="1755" t="e">
        <f>#REF!</f>
        <v>#REF!</v>
      </c>
      <c r="J17" s="1755" t="e">
        <f>#REF!</f>
        <v>#REF!</v>
      </c>
      <c r="K17" s="1755" t="e">
        <f>#REF!</f>
        <v>#REF!</v>
      </c>
    </row>
    <row r="18" spans="2:11" ht="32.25" thickBot="1">
      <c r="B18" s="1752">
        <v>13</v>
      </c>
      <c r="C18" s="300" t="s">
        <v>2690</v>
      </c>
      <c r="D18" s="1756" t="e">
        <f>#REF!</f>
        <v>#REF!</v>
      </c>
      <c r="E18" s="1756" t="e">
        <f>#REF!</f>
        <v>#REF!</v>
      </c>
      <c r="F18" s="1756" t="e">
        <f>#REF!</f>
        <v>#REF!</v>
      </c>
      <c r="G18" s="1756" t="e">
        <f>#REF!</f>
        <v>#REF!</v>
      </c>
      <c r="H18" s="1756">
        <f>'ARR (SLDC)'!D18</f>
        <v>0</v>
      </c>
      <c r="I18" s="1756">
        <f>'ARR (SLDC)'!E18</f>
        <v>0</v>
      </c>
      <c r="J18" s="1756">
        <f>'ARR (SLDC)'!H18</f>
        <v>5.8449999999999998</v>
      </c>
      <c r="K18" s="1756">
        <f>'ARR (SLDC)'!I18</f>
        <v>0.02</v>
      </c>
    </row>
    <row r="19" spans="2:11" ht="30" thickBot="1">
      <c r="B19" s="1752">
        <v>14</v>
      </c>
      <c r="C19" s="1748" t="s">
        <v>2596</v>
      </c>
      <c r="D19" s="1755" t="e">
        <f>#REF!</f>
        <v>#REF!</v>
      </c>
      <c r="E19" s="1755" t="e">
        <f>#REF!</f>
        <v>#REF!</v>
      </c>
      <c r="F19" s="1755" t="e">
        <f>#REF!</f>
        <v>#REF!</v>
      </c>
      <c r="G19" s="1755" t="e">
        <f>#REF!</f>
        <v>#REF!</v>
      </c>
      <c r="H19" s="1755" t="e">
        <f>#REF!</f>
        <v>#REF!</v>
      </c>
      <c r="I19" s="1755" t="e">
        <f>#REF!</f>
        <v>#REF!</v>
      </c>
      <c r="J19" s="1755" t="e">
        <f>#REF!</f>
        <v>#REF!</v>
      </c>
      <c r="K19" s="1755" t="e">
        <f>#REF!</f>
        <v>#REF!</v>
      </c>
    </row>
    <row r="20" spans="2:11" ht="30" thickBot="1">
      <c r="B20" s="1752">
        <v>15</v>
      </c>
      <c r="C20" s="1748" t="s">
        <v>2597</v>
      </c>
      <c r="D20" s="1755" t="e">
        <f>#REF!</f>
        <v>#REF!</v>
      </c>
      <c r="E20" s="1755" t="e">
        <f>#REF!</f>
        <v>#REF!</v>
      </c>
      <c r="F20" s="1756" t="e">
        <f>#REF!</f>
        <v>#REF!</v>
      </c>
      <c r="G20" s="1756" t="e">
        <f>#REF!</f>
        <v>#REF!</v>
      </c>
      <c r="H20" s="1756" t="e">
        <f>#REF!</f>
        <v>#REF!</v>
      </c>
      <c r="I20" s="1756" t="e">
        <f>#REF!</f>
        <v>#REF!</v>
      </c>
      <c r="J20" s="1756" t="e">
        <f>#REF!</f>
        <v>#REF!</v>
      </c>
      <c r="K20" s="1756" t="e">
        <f>#REF!</f>
        <v>#REF!</v>
      </c>
    </row>
    <row r="21" spans="2:11" ht="15.75" thickBot="1">
      <c r="B21" s="1749">
        <v>16</v>
      </c>
      <c r="C21" s="1748" t="s">
        <v>2542</v>
      </c>
      <c r="D21" s="1755" t="e">
        <f>#REF!</f>
        <v>#REF!</v>
      </c>
      <c r="E21" s="1755" t="e">
        <f>#REF!</f>
        <v>#REF!</v>
      </c>
      <c r="F21" s="1755" t="e">
        <f>#REF!</f>
        <v>#REF!</v>
      </c>
      <c r="G21" s="1755" t="e">
        <f>#REF!</f>
        <v>#REF!</v>
      </c>
      <c r="H21" s="1755" t="e">
        <f>#REF!</f>
        <v>#REF!</v>
      </c>
      <c r="I21" s="1755" t="e">
        <f>#REF!</f>
        <v>#REF!</v>
      </c>
      <c r="J21" s="1755" t="e">
        <f>#REF!</f>
        <v>#REF!</v>
      </c>
      <c r="K21" s="1755" t="e">
        <f>#REF!</f>
        <v>#REF!</v>
      </c>
    </row>
    <row r="22" spans="2:11" ht="15.75" thickBot="1">
      <c r="D22" s="1678"/>
      <c r="E22" s="1678"/>
      <c r="F22" s="1678"/>
      <c r="G22" s="1678"/>
      <c r="H22" s="1678"/>
      <c r="I22" s="1678"/>
      <c r="J22" s="1678"/>
      <c r="K22" s="1678"/>
    </row>
    <row r="23" spans="2:11" ht="15.75" thickBot="1">
      <c r="B23" s="2352" t="s">
        <v>1003</v>
      </c>
      <c r="C23" s="2355" t="s">
        <v>282</v>
      </c>
      <c r="D23" s="2358" t="s">
        <v>2541</v>
      </c>
      <c r="E23" s="2359"/>
      <c r="F23" s="2359"/>
      <c r="G23" s="2360"/>
    </row>
    <row r="24" spans="2:11" ht="15.75" thickBot="1">
      <c r="B24" s="2353"/>
      <c r="C24" s="2356"/>
      <c r="D24" s="2361" t="s">
        <v>1752</v>
      </c>
      <c r="E24" s="2362"/>
      <c r="F24" s="2363"/>
      <c r="G24" s="1754" t="s">
        <v>2590</v>
      </c>
    </row>
    <row r="25" spans="2:11" ht="30" thickBot="1">
      <c r="B25" s="2354"/>
      <c r="C25" s="2357"/>
      <c r="D25" s="1754" t="s">
        <v>1035</v>
      </c>
      <c r="E25" s="1754" t="s">
        <v>1036</v>
      </c>
      <c r="F25" s="1754" t="s">
        <v>2508</v>
      </c>
      <c r="G25" s="1754" t="s">
        <v>1040</v>
      </c>
    </row>
    <row r="26" spans="2:11" ht="15.75" thickBot="1">
      <c r="B26" s="1752">
        <v>1</v>
      </c>
      <c r="C26" s="1753" t="s">
        <v>2744</v>
      </c>
      <c r="D26" s="1751" t="e">
        <f>#REF!</f>
        <v>#REF!</v>
      </c>
      <c r="E26" s="1751" t="e">
        <f>#REF!</f>
        <v>#REF!</v>
      </c>
      <c r="F26" s="1751" t="e">
        <f>#REF!</f>
        <v>#REF!</v>
      </c>
      <c r="G26" s="1751" t="e">
        <f>#REF!</f>
        <v>#REF!</v>
      </c>
    </row>
    <row r="27" spans="2:11" ht="15.75" thickBot="1">
      <c r="B27" s="1752">
        <v>2</v>
      </c>
      <c r="C27" s="1753" t="s">
        <v>2745</v>
      </c>
      <c r="D27" s="1751" t="e">
        <f>#REF!</f>
        <v>#REF!</v>
      </c>
      <c r="E27" s="1751" t="e">
        <f>#REF!</f>
        <v>#REF!</v>
      </c>
      <c r="F27" s="1751" t="e">
        <f>#REF!</f>
        <v>#REF!</v>
      </c>
      <c r="G27" s="1751" t="e">
        <f>#REF!</f>
        <v>#REF!</v>
      </c>
    </row>
    <row r="28" spans="2:11" ht="15.75" thickBot="1">
      <c r="B28" s="1752">
        <v>3</v>
      </c>
      <c r="C28" s="1753" t="s">
        <v>2746</v>
      </c>
      <c r="D28" s="1751" t="e">
        <f>#REF!</f>
        <v>#REF!</v>
      </c>
      <c r="E28" s="1751" t="e">
        <f>#REF!</f>
        <v>#REF!</v>
      </c>
      <c r="F28" s="1751" t="e">
        <f>#REF!</f>
        <v>#REF!</v>
      </c>
      <c r="G28" s="1751" t="e">
        <f>#REF!</f>
        <v>#REF!</v>
      </c>
    </row>
    <row r="29" spans="2:11" ht="15.75" thickBot="1">
      <c r="B29" s="1752">
        <v>4</v>
      </c>
      <c r="C29" s="1753" t="s">
        <v>384</v>
      </c>
      <c r="D29" s="1751" t="e">
        <f>#REF!</f>
        <v>#REF!</v>
      </c>
      <c r="E29" s="1751" t="e">
        <f>#REF!</f>
        <v>#REF!</v>
      </c>
      <c r="F29" s="1751" t="e">
        <f>#REF!</f>
        <v>#REF!</v>
      </c>
      <c r="G29" s="1751" t="e">
        <f>#REF!</f>
        <v>#REF!</v>
      </c>
    </row>
    <row r="30" spans="2:11" ht="15.75" thickBot="1">
      <c r="B30" s="1752">
        <v>5</v>
      </c>
      <c r="C30" s="1753" t="s">
        <v>385</v>
      </c>
      <c r="D30" s="1751" t="e">
        <f>#REF!</f>
        <v>#REF!</v>
      </c>
      <c r="E30" s="1751" t="e">
        <f>#REF!</f>
        <v>#REF!</v>
      </c>
      <c r="F30" s="1751" t="e">
        <f>#REF!</f>
        <v>#REF!</v>
      </c>
      <c r="G30" s="1751" t="e">
        <f>#REF!</f>
        <v>#REF!</v>
      </c>
    </row>
    <row r="31" spans="2:11" ht="15.75" thickBot="1">
      <c r="B31" s="1752">
        <v>6</v>
      </c>
      <c r="C31" s="1753" t="s">
        <v>340</v>
      </c>
      <c r="D31" s="1751" t="e">
        <f>#REF!</f>
        <v>#REF!</v>
      </c>
      <c r="E31" s="1751" t="e">
        <f>#REF!</f>
        <v>#REF!</v>
      </c>
      <c r="F31" s="1751" t="e">
        <f>#REF!</f>
        <v>#REF!</v>
      </c>
      <c r="G31" s="1751" t="e">
        <f>#REF!</f>
        <v>#REF!</v>
      </c>
    </row>
    <row r="32" spans="2:11" ht="15.75" thickBot="1">
      <c r="B32" s="1752">
        <v>7</v>
      </c>
      <c r="C32" s="1753" t="s">
        <v>196</v>
      </c>
      <c r="D32" s="1751" t="e">
        <f>#REF!</f>
        <v>#REF!</v>
      </c>
      <c r="E32" s="1751" t="e">
        <f>#REF!</f>
        <v>#REF!</v>
      </c>
      <c r="F32" s="1751" t="e">
        <f>#REF!</f>
        <v>#REF!</v>
      </c>
      <c r="G32" s="1751" t="e">
        <f>#REF!</f>
        <v>#REF!</v>
      </c>
    </row>
    <row r="33" spans="2:7" ht="15.75" thickBot="1">
      <c r="B33" s="1752">
        <v>8</v>
      </c>
      <c r="C33" s="1753" t="s">
        <v>2530</v>
      </c>
      <c r="D33" s="1751" t="e">
        <f>#REF!</f>
        <v>#REF!</v>
      </c>
      <c r="E33" s="1751" t="e">
        <f>#REF!</f>
        <v>#REF!</v>
      </c>
      <c r="F33" s="1751" t="e">
        <f>#REF!</f>
        <v>#REF!</v>
      </c>
      <c r="G33" s="1751" t="e">
        <f>#REF!</f>
        <v>#REF!</v>
      </c>
    </row>
    <row r="34" spans="2:7" ht="30.75" thickBot="1">
      <c r="B34" s="1752">
        <v>9</v>
      </c>
      <c r="C34" s="1753" t="s">
        <v>2545</v>
      </c>
      <c r="D34" s="1751" t="e">
        <f>#REF!</f>
        <v>#REF!</v>
      </c>
      <c r="E34" s="1751" t="e">
        <f>#REF!</f>
        <v>#REF!</v>
      </c>
      <c r="F34" s="1751" t="e">
        <f>#REF!</f>
        <v>#REF!</v>
      </c>
      <c r="G34" s="1751" t="e">
        <f>#REF!</f>
        <v>#REF!</v>
      </c>
    </row>
    <row r="35" spans="2:7" ht="15.75" thickBot="1">
      <c r="B35" s="1749">
        <v>10</v>
      </c>
      <c r="C35" s="1748" t="s">
        <v>386</v>
      </c>
      <c r="D35" s="1747" t="e">
        <f>#REF!</f>
        <v>#REF!</v>
      </c>
      <c r="E35" s="1747" t="e">
        <f>#REF!</f>
        <v>#REF!</v>
      </c>
      <c r="F35" s="1747" t="e">
        <f>#REF!</f>
        <v>#REF!</v>
      </c>
      <c r="G35" s="1747" t="e">
        <f>#REF!</f>
        <v>#REF!</v>
      </c>
    </row>
    <row r="36" spans="2:7" ht="15.75" thickBot="1">
      <c r="B36" s="1752">
        <v>11</v>
      </c>
      <c r="C36" s="1753" t="s">
        <v>391</v>
      </c>
      <c r="D36" s="1751" t="e">
        <f>#REF!</f>
        <v>#REF!</v>
      </c>
      <c r="E36" s="1751" t="e">
        <f>#REF!</f>
        <v>#REF!</v>
      </c>
      <c r="F36" s="1751" t="e">
        <f>#REF!</f>
        <v>#REF!</v>
      </c>
      <c r="G36" s="1751" t="e">
        <f>#REF!</f>
        <v>#REF!</v>
      </c>
    </row>
    <row r="37" spans="2:7" ht="15.75" thickBot="1">
      <c r="B37" s="1752">
        <v>12</v>
      </c>
      <c r="C37" s="1753" t="s">
        <v>2536</v>
      </c>
      <c r="D37" s="1751" t="e">
        <f>#REF!</f>
        <v>#REF!</v>
      </c>
      <c r="E37" s="1751" t="e">
        <f>#REF!</f>
        <v>#REF!</v>
      </c>
      <c r="F37" s="1751" t="e">
        <f>#REF!</f>
        <v>#REF!</v>
      </c>
      <c r="G37" s="1751" t="e">
        <f>#REF!</f>
        <v>#REF!</v>
      </c>
    </row>
    <row r="38" spans="2:7" ht="30" thickBot="1">
      <c r="B38" s="1752">
        <v>13</v>
      </c>
      <c r="C38" s="1748" t="s">
        <v>2543</v>
      </c>
      <c r="D38" s="1747" t="e">
        <f>#REF!</f>
        <v>#REF!</v>
      </c>
      <c r="E38" s="1747" t="e">
        <f>#REF!</f>
        <v>#REF!</v>
      </c>
      <c r="F38" s="1747" t="e">
        <f>#REF!</f>
        <v>#REF!</v>
      </c>
      <c r="G38" s="1747" t="e">
        <f>#REF!</f>
        <v>#REF!</v>
      </c>
    </row>
    <row r="39" spans="2:7" ht="15.75" thickBot="1">
      <c r="B39" s="1752">
        <v>14</v>
      </c>
      <c r="C39" s="1753" t="s">
        <v>2531</v>
      </c>
      <c r="D39" s="1751" t="e">
        <f>#REF!</f>
        <v>#REF!</v>
      </c>
      <c r="E39" s="1751" t="e">
        <f>#REF!</f>
        <v>#REF!</v>
      </c>
      <c r="F39" s="1751" t="e">
        <f>#REF!</f>
        <v>#REF!</v>
      </c>
      <c r="G39" s="1751" t="e">
        <f>#REF!</f>
        <v>#REF!</v>
      </c>
    </row>
    <row r="40" spans="2:7" ht="30" thickBot="1">
      <c r="B40" s="1752">
        <v>15</v>
      </c>
      <c r="C40" s="1748" t="s">
        <v>2596</v>
      </c>
      <c r="D40" s="1747" t="e">
        <f>#REF!</f>
        <v>#REF!</v>
      </c>
      <c r="E40" s="1747" t="e">
        <f>#REF!</f>
        <v>#REF!</v>
      </c>
      <c r="F40" s="1747" t="e">
        <f>#REF!</f>
        <v>#REF!</v>
      </c>
      <c r="G40" s="1747" t="e">
        <f>#REF!</f>
        <v>#REF!</v>
      </c>
    </row>
    <row r="41" spans="2:7" ht="30" thickBot="1">
      <c r="B41" s="1752">
        <v>16</v>
      </c>
      <c r="C41" s="1748" t="s">
        <v>2597</v>
      </c>
      <c r="D41" s="1751"/>
      <c r="E41" s="1751" t="e">
        <f>#REF!</f>
        <v>#REF!</v>
      </c>
      <c r="F41" s="1751" t="e">
        <f>#REF!</f>
        <v>#REF!</v>
      </c>
      <c r="G41" s="1750" t="e">
        <f>#REF!</f>
        <v>#REF!</v>
      </c>
    </row>
    <row r="42" spans="2:7" ht="15.75" thickBot="1">
      <c r="B42" s="1749">
        <v>17</v>
      </c>
      <c r="C42" s="1748" t="s">
        <v>2542</v>
      </c>
      <c r="D42" s="1747"/>
      <c r="E42" s="1747" t="e">
        <f>#REF!</f>
        <v>#REF!</v>
      </c>
      <c r="F42" s="1747" t="e">
        <f>#REF!</f>
        <v>#REF!</v>
      </c>
      <c r="G42" s="1746" t="e">
        <f>#REF!</f>
        <v>#REF!</v>
      </c>
    </row>
    <row r="44" spans="2:7" ht="15.75" thickBot="1"/>
    <row r="45" spans="2:7" ht="16.5" thickBot="1">
      <c r="B45" s="2364" t="s">
        <v>1003</v>
      </c>
      <c r="C45" s="2364" t="s">
        <v>331</v>
      </c>
      <c r="D45" s="2366" t="s">
        <v>2734</v>
      </c>
      <c r="E45" s="2367"/>
      <c r="F45" s="2367"/>
      <c r="G45" s="2368"/>
    </row>
    <row r="46" spans="2:7" ht="16.5" thickBot="1">
      <c r="B46" s="2365"/>
      <c r="C46" s="2365"/>
      <c r="D46" s="1745" t="s">
        <v>236</v>
      </c>
      <c r="E46" s="1744" t="s">
        <v>237</v>
      </c>
      <c r="F46" s="1744" t="s">
        <v>238</v>
      </c>
      <c r="G46" s="1744" t="s">
        <v>239</v>
      </c>
    </row>
    <row r="47" spans="2:7" ht="16.5" thickBot="1">
      <c r="B47" s="1655">
        <v>1</v>
      </c>
      <c r="C47" s="1675" t="s">
        <v>1363</v>
      </c>
      <c r="D47" s="1656">
        <f>'F22'!H15</f>
        <v>99.86</v>
      </c>
      <c r="E47" s="1656">
        <f>'F22'!I15</f>
        <v>99.9</v>
      </c>
      <c r="F47" s="1656">
        <f>'F22'!J15</f>
        <v>99.84</v>
      </c>
      <c r="G47" s="1656">
        <f>'F22'!K15</f>
        <v>99.9</v>
      </c>
    </row>
    <row r="48" spans="2:7" ht="16.5" thickBot="1">
      <c r="B48" s="1655">
        <v>2</v>
      </c>
      <c r="C48" s="1675" t="s">
        <v>1364</v>
      </c>
      <c r="D48" s="1656">
        <f>'F22'!H16</f>
        <v>99.5</v>
      </c>
      <c r="E48" s="1656">
        <f>'F22'!I16</f>
        <v>99.84</v>
      </c>
      <c r="F48" s="1656">
        <f>'F22'!J16</f>
        <v>99.6</v>
      </c>
      <c r="G48" s="1656">
        <f>'F22'!K16</f>
        <v>99.6</v>
      </c>
    </row>
    <row r="49" spans="2:19" ht="15.75" thickBot="1"/>
    <row r="50" spans="2:19" ht="16.5" thickBot="1">
      <c r="B50" s="2371" t="s">
        <v>1003</v>
      </c>
      <c r="C50" s="2371" t="s">
        <v>331</v>
      </c>
      <c r="D50" s="2373" t="s">
        <v>2733</v>
      </c>
      <c r="E50" s="2374"/>
      <c r="F50" s="2375"/>
    </row>
    <row r="51" spans="2:19" ht="16.5" thickBot="1">
      <c r="B51" s="2372"/>
      <c r="C51" s="2372"/>
      <c r="D51" s="1743" t="s">
        <v>236</v>
      </c>
      <c r="E51" s="1743" t="s">
        <v>237</v>
      </c>
      <c r="F51" s="1743" t="s">
        <v>281</v>
      </c>
    </row>
    <row r="52" spans="2:19" ht="16.5" thickBot="1">
      <c r="B52" s="1663">
        <v>1</v>
      </c>
      <c r="C52" s="1662" t="s">
        <v>1363</v>
      </c>
      <c r="D52" s="1687">
        <f>'F22'!L15</f>
        <v>99.78</v>
      </c>
      <c r="E52" s="1687">
        <f>'F22'!M15</f>
        <v>99.93</v>
      </c>
      <c r="F52" s="1687">
        <f>'F22'!N15</f>
        <v>99.94</v>
      </c>
    </row>
    <row r="53" spans="2:19" ht="16.5" thickBot="1">
      <c r="B53" s="1663">
        <v>2</v>
      </c>
      <c r="C53" s="1662" t="s">
        <v>1364</v>
      </c>
      <c r="D53" s="1687">
        <f>'F22'!L16</f>
        <v>99.82</v>
      </c>
      <c r="E53" s="1687">
        <f>'F22'!M16</f>
        <v>99.84</v>
      </c>
      <c r="F53" s="1687">
        <f>'F22'!N16</f>
        <v>99.69</v>
      </c>
    </row>
    <row r="55" spans="2:19" ht="15.75" thickBot="1"/>
    <row r="56" spans="2:19" ht="16.5" thickBot="1">
      <c r="B56" s="1740" t="s">
        <v>1003</v>
      </c>
      <c r="C56" s="1739" t="s">
        <v>331</v>
      </c>
      <c r="D56" s="1739" t="s">
        <v>2732</v>
      </c>
      <c r="E56" s="1739" t="s">
        <v>2731</v>
      </c>
    </row>
    <row r="57" spans="2:19" ht="32.25" thickBot="1">
      <c r="B57" s="1655">
        <v>1</v>
      </c>
      <c r="C57" s="1675" t="s">
        <v>2724</v>
      </c>
      <c r="D57" s="1737" t="s">
        <v>2730</v>
      </c>
      <c r="E57" s="1742" t="s">
        <v>2729</v>
      </c>
      <c r="G57" s="1652" t="s">
        <v>2721</v>
      </c>
    </row>
    <row r="58" spans="2:19" ht="16.5" thickBot="1">
      <c r="B58" s="1655">
        <v>2</v>
      </c>
      <c r="C58" s="1675" t="s">
        <v>2720</v>
      </c>
      <c r="D58" s="1737" t="s">
        <v>1752</v>
      </c>
      <c r="E58" s="1742" t="s">
        <v>425</v>
      </c>
      <c r="G58" s="1652" t="s">
        <v>2728</v>
      </c>
    </row>
    <row r="59" spans="2:19" ht="16.5" thickBot="1">
      <c r="B59" s="1655">
        <v>3</v>
      </c>
      <c r="C59" s="1675" t="s">
        <v>2719</v>
      </c>
      <c r="D59" s="1736">
        <v>4.5499999999999999E-2</v>
      </c>
      <c r="E59" s="1741" t="s">
        <v>2727</v>
      </c>
    </row>
    <row r="61" spans="2:19" ht="48" customHeight="1" thickBot="1">
      <c r="M61" s="2376" t="str">
        <f>'F1'!B6</f>
        <v>S. No</v>
      </c>
      <c r="N61" s="2376" t="str">
        <f>'F1'!C6</f>
        <v xml:space="preserve">Particulars </v>
      </c>
      <c r="O61" s="2376" t="s">
        <v>1752</v>
      </c>
      <c r="P61" s="2376">
        <f>'F1'!J6</f>
        <v>0</v>
      </c>
      <c r="Q61" s="2376">
        <f>'F1'!K6</f>
        <v>0</v>
      </c>
      <c r="R61" s="2376">
        <f>'F1'!L6</f>
        <v>0</v>
      </c>
      <c r="S61" s="1836" t="s">
        <v>2590</v>
      </c>
    </row>
    <row r="62" spans="2:19" ht="48" thickBot="1">
      <c r="B62" s="1740" t="s">
        <v>1003</v>
      </c>
      <c r="C62" s="1739" t="s">
        <v>331</v>
      </c>
      <c r="D62" s="1739" t="s">
        <v>2726</v>
      </c>
      <c r="E62" s="1739" t="s">
        <v>2725</v>
      </c>
      <c r="M62" s="2376">
        <f>'F1'!B7</f>
        <v>0</v>
      </c>
      <c r="N62" s="2376">
        <f>'F1'!C7</f>
        <v>0</v>
      </c>
      <c r="O62" s="1647" t="str">
        <f>'F1'!I7</f>
        <v>Order</v>
      </c>
      <c r="P62" s="1647" t="str">
        <f>'F1'!J7</f>
        <v>Actuals for H1</v>
      </c>
      <c r="Q62" s="1647" t="str">
        <f>'F1'!K7</f>
        <v>Estimated for H2</v>
      </c>
      <c r="R62" s="1647" t="str">
        <f>'F1'!L7</f>
        <v>Total</v>
      </c>
      <c r="S62" s="1647" t="str">
        <f>'F1'!M7</f>
        <v>Projected</v>
      </c>
    </row>
    <row r="63" spans="2:19" ht="32.25" customHeight="1" thickBot="1">
      <c r="B63" s="1655">
        <v>1</v>
      </c>
      <c r="C63" s="1675" t="s">
        <v>2724</v>
      </c>
      <c r="D63" s="1737" t="s">
        <v>2723</v>
      </c>
      <c r="E63" s="1737" t="s">
        <v>2722</v>
      </c>
      <c r="G63" s="1652" t="s">
        <v>2721</v>
      </c>
      <c r="M63" s="1738" t="str">
        <f>'F1'!B9</f>
        <v>I</v>
      </c>
      <c r="N63" s="2387" t="str">
        <f>'F1'!C9</f>
        <v>Salaries &amp; Allowances</v>
      </c>
      <c r="O63" s="2388"/>
      <c r="P63" s="2388"/>
      <c r="Q63" s="2388"/>
      <c r="R63" s="2388"/>
      <c r="S63" s="2389"/>
    </row>
    <row r="64" spans="2:19" ht="16.5" thickBot="1">
      <c r="B64" s="1655">
        <v>2</v>
      </c>
      <c r="C64" s="1675" t="s">
        <v>2720</v>
      </c>
      <c r="D64" s="1737" t="s">
        <v>1752</v>
      </c>
      <c r="E64" s="1737" t="s">
        <v>1751</v>
      </c>
      <c r="M64" s="1456">
        <f>'F1'!B10</f>
        <v>1</v>
      </c>
      <c r="N64" s="20" t="str">
        <f>'F1'!C10</f>
        <v>Basic pay</v>
      </c>
      <c r="O64" s="1453"/>
      <c r="P64" s="1453">
        <f>'F1'!J10</f>
        <v>40.209403800000004</v>
      </c>
      <c r="Q64" s="1453">
        <f>'F1'!K10</f>
        <v>44.203084199999999</v>
      </c>
      <c r="R64" s="1719">
        <f>'F1'!L10</f>
        <v>84.412487999999996</v>
      </c>
      <c r="S64" s="1719">
        <f>'F1'!M10</f>
        <v>95.270985851999995</v>
      </c>
    </row>
    <row r="65" spans="1:19" ht="16.5" thickBot="1">
      <c r="B65" s="1655">
        <v>3</v>
      </c>
      <c r="C65" s="1675" t="s">
        <v>2719</v>
      </c>
      <c r="D65" s="1736">
        <v>2.5000000000000001E-2</v>
      </c>
      <c r="E65" s="1736">
        <v>4.2000000000000003E-2</v>
      </c>
      <c r="M65" s="1456">
        <f>'F1'!B11</f>
        <v>2</v>
      </c>
      <c r="N65" s="20" t="str">
        <f>'F1'!C11</f>
        <v>Dearness allowance</v>
      </c>
      <c r="O65" s="1453"/>
      <c r="P65" s="1453">
        <f>'F1'!J11</f>
        <v>25.088905499999999</v>
      </c>
      <c r="Q65" s="1453">
        <f>'F1'!K11</f>
        <v>33.297327470999996</v>
      </c>
      <c r="R65" s="1719">
        <f>'F1'!L11</f>
        <v>58.386232970999998</v>
      </c>
      <c r="S65" s="1719">
        <f>'F1'!M11</f>
        <v>78.122208398639984</v>
      </c>
    </row>
    <row r="66" spans="1:19" ht="32.25" thickBot="1">
      <c r="M66" s="1720">
        <f>'F1'!B12</f>
        <v>3</v>
      </c>
      <c r="N66" s="1412" t="str">
        <f>'F1'!C12</f>
        <v>HRA, Fixed Medical and Other Allowances</v>
      </c>
      <c r="O66" s="1453"/>
      <c r="P66" s="1735">
        <f>'F1'!J12</f>
        <v>7.8939135000000018</v>
      </c>
      <c r="Q66" s="1453">
        <f>'F1'!K12</f>
        <v>14.264725260000002</v>
      </c>
      <c r="R66" s="1719">
        <f>'F1'!L12</f>
        <v>22.158638760000002</v>
      </c>
      <c r="S66" s="1719">
        <f>'F1'!M12</f>
        <v>30.755095755599996</v>
      </c>
    </row>
    <row r="67" spans="1:19" ht="16.5" thickBot="1">
      <c r="A67" s="1660"/>
      <c r="B67" s="2377" t="s">
        <v>1003</v>
      </c>
      <c r="C67" s="2377" t="s">
        <v>331</v>
      </c>
      <c r="D67" s="2379" t="s">
        <v>1752</v>
      </c>
      <c r="E67" s="2380"/>
      <c r="F67" s="2380"/>
      <c r="G67" s="2381"/>
      <c r="H67" s="1734" t="s">
        <v>2590</v>
      </c>
      <c r="M67" s="1720">
        <f>'F1'!B15</f>
        <v>4</v>
      </c>
      <c r="N67" s="1412" t="str">
        <f>'F1'!C15</f>
        <v>Over time payment</v>
      </c>
      <c r="O67" s="1453"/>
      <c r="P67" s="1453">
        <f>'F1'!J15</f>
        <v>1.4769767</v>
      </c>
      <c r="Q67" s="1453">
        <f>'F1'!K15</f>
        <v>1.9268718000000002</v>
      </c>
      <c r="R67" s="1719">
        <f>'F1'!L15</f>
        <v>3.4038485000000005</v>
      </c>
      <c r="S67" s="1719">
        <f>'F1'!M15</f>
        <v>3.9693559080000007</v>
      </c>
    </row>
    <row r="68" spans="1:19" ht="32.25" thickBot="1">
      <c r="A68" s="1660"/>
      <c r="B68" s="2378"/>
      <c r="C68" s="2378"/>
      <c r="D68" s="1733" t="s">
        <v>1036</v>
      </c>
      <c r="E68" s="1733" t="s">
        <v>2718</v>
      </c>
      <c r="F68" s="1733" t="s">
        <v>2717</v>
      </c>
      <c r="G68" s="1733" t="s">
        <v>1942</v>
      </c>
      <c r="H68" s="1733" t="s">
        <v>1040</v>
      </c>
      <c r="M68" s="1720">
        <f>'F1'!B16</f>
        <v>5</v>
      </c>
      <c r="N68" s="1412" t="str">
        <f>'F1'!C16</f>
        <v>Medical reimbursement charges</v>
      </c>
      <c r="O68" s="1453"/>
      <c r="P68" s="1453">
        <f>'F1'!J16</f>
        <v>0.64992119999999998</v>
      </c>
      <c r="Q68" s="1453">
        <f>'F1'!K16</f>
        <v>0.67172582999999997</v>
      </c>
      <c r="R68" s="1719">
        <f>'F1'!L16</f>
        <v>1.3216470299999998</v>
      </c>
      <c r="S68" s="1719">
        <f>'F1'!M16</f>
        <v>1.3434516599999999</v>
      </c>
    </row>
    <row r="69" spans="1:19" ht="16.5" thickBot="1">
      <c r="A69" s="1660"/>
      <c r="B69" s="1728">
        <v>1</v>
      </c>
      <c r="C69" s="1732" t="s">
        <v>288</v>
      </c>
      <c r="D69" s="1698">
        <f>'F1'!F65</f>
        <v>0</v>
      </c>
      <c r="E69" s="1698">
        <f>'F1'!G65</f>
        <v>27.582345799999999</v>
      </c>
      <c r="F69" s="1698">
        <f>'F1'!H65</f>
        <v>46.359113251158028</v>
      </c>
      <c r="G69" s="1698">
        <f>'F1'!I65</f>
        <v>73.941459051158034</v>
      </c>
      <c r="H69" s="1698">
        <f>'F1'!J65</f>
        <v>77.286241769980435</v>
      </c>
      <c r="M69" s="1718">
        <v>6</v>
      </c>
      <c r="N69" s="15" t="str">
        <f>'F1'!C19</f>
        <v>Sub-total</v>
      </c>
      <c r="O69" s="1454">
        <f>O85-O84-O74</f>
        <v>211.12</v>
      </c>
      <c r="P69" s="1454">
        <f>'F1'!J19</f>
        <v>75.319120699999985</v>
      </c>
      <c r="Q69" s="1454">
        <f>'F1'!K19</f>
        <v>94.363734561000001</v>
      </c>
      <c r="R69" s="1454">
        <f>'F1'!L19</f>
        <v>169.68285526100001</v>
      </c>
      <c r="S69" s="1454">
        <f>'F1'!M19</f>
        <v>209.46109757423997</v>
      </c>
    </row>
    <row r="70" spans="1:19" ht="48" customHeight="1" thickBot="1">
      <c r="A70" s="1660"/>
      <c r="B70" s="1728">
        <v>2</v>
      </c>
      <c r="C70" s="1699" t="s">
        <v>1945</v>
      </c>
      <c r="D70" s="1698">
        <f>'F1'!F66</f>
        <v>0</v>
      </c>
      <c r="E70" s="1698">
        <f>'F1'!G66</f>
        <v>0</v>
      </c>
      <c r="F70" s="1698">
        <f>'F1'!H66</f>
        <v>12.87</v>
      </c>
      <c r="G70" s="1698">
        <f>'F1'!I66</f>
        <v>12.87</v>
      </c>
      <c r="H70" s="1698">
        <f>'F1'!J66</f>
        <v>12.87</v>
      </c>
      <c r="M70" s="1718" t="str">
        <f>'F1'!B20</f>
        <v>II</v>
      </c>
      <c r="N70" s="2390" t="str">
        <f>'F1'!C20</f>
        <v>Terminal Benefits</v>
      </c>
      <c r="O70" s="2391"/>
      <c r="P70" s="2391"/>
      <c r="Q70" s="2391"/>
      <c r="R70" s="2391"/>
      <c r="S70" s="2392"/>
    </row>
    <row r="71" spans="1:19" ht="16.5" thickBot="1">
      <c r="A71" s="1660"/>
      <c r="B71" s="1728">
        <v>3</v>
      </c>
      <c r="C71" s="1732" t="s">
        <v>2716</v>
      </c>
      <c r="D71" s="1698">
        <f>'F1'!F67</f>
        <v>0</v>
      </c>
      <c r="E71" s="1698">
        <f>'F1'!G67</f>
        <v>71.564038499999981</v>
      </c>
      <c r="F71" s="1698">
        <f>'F1'!H67</f>
        <v>74.118816761000005</v>
      </c>
      <c r="G71" s="1698">
        <f>'F1'!I67</f>
        <v>145.68285526100001</v>
      </c>
      <c r="H71" s="1698">
        <f>'F1'!J67</f>
        <v>183.06109757423997</v>
      </c>
      <c r="M71" s="1720">
        <v>7</v>
      </c>
      <c r="N71" s="1412" t="str">
        <f>'F1'!C21</f>
        <v>Leave encashment</v>
      </c>
      <c r="O71" s="1453"/>
      <c r="P71" s="1453">
        <f>'F1'!J21</f>
        <v>5.4252687000000002</v>
      </c>
      <c r="Q71" s="1453">
        <f>'F1'!K21</f>
        <v>7.01</v>
      </c>
      <c r="R71" s="1719">
        <f>'F1'!L21</f>
        <v>12.4352687</v>
      </c>
      <c r="S71" s="1453">
        <f>'F1'!M21</f>
        <v>13.3</v>
      </c>
    </row>
    <row r="72" spans="1:19" ht="16.5" thickBot="1">
      <c r="A72" s="1660"/>
      <c r="B72" s="1730" t="s">
        <v>163</v>
      </c>
      <c r="C72" s="1729" t="s">
        <v>1949</v>
      </c>
      <c r="D72" s="1731">
        <f>'F1'!F68</f>
        <v>0</v>
      </c>
      <c r="E72" s="1698">
        <f>'F1'!G68</f>
        <v>75.319120699999985</v>
      </c>
      <c r="F72" s="1698">
        <f>'F1'!H68</f>
        <v>94.363734561000001</v>
      </c>
      <c r="G72" s="1698">
        <f>'F1'!I68</f>
        <v>169.68285526100001</v>
      </c>
      <c r="H72" s="1698">
        <f>SUM(H69:H71)</f>
        <v>273.21733934422042</v>
      </c>
      <c r="M72" s="1720">
        <v>8</v>
      </c>
      <c r="N72" s="1412" t="str">
        <f>'F1'!C22</f>
        <v>Gratuity</v>
      </c>
      <c r="O72" s="1453"/>
      <c r="P72" s="1453">
        <f>'F1'!J22</f>
        <v>8.3287212000000004</v>
      </c>
      <c r="Q72" s="1453">
        <f>'F1'!K22</f>
        <v>13.45</v>
      </c>
      <c r="R72" s="1719">
        <f>'F1'!L22</f>
        <v>21.7787212</v>
      </c>
      <c r="S72" s="1453">
        <f>'F1'!M22</f>
        <v>14</v>
      </c>
    </row>
    <row r="73" spans="1:19" ht="16.5" thickBot="1">
      <c r="A73" s="1660"/>
      <c r="B73" s="1730" t="s">
        <v>164</v>
      </c>
      <c r="C73" s="1729" t="s">
        <v>2715</v>
      </c>
      <c r="D73" s="1727">
        <f>'F1'!F69</f>
        <v>0</v>
      </c>
      <c r="E73" s="1698">
        <f>'F1'!G69</f>
        <v>3.7550821999999999</v>
      </c>
      <c r="F73" s="1698">
        <f>'F1'!H69</f>
        <v>20.2449178</v>
      </c>
      <c r="G73" s="1698">
        <f>'F1'!I69</f>
        <v>24</v>
      </c>
      <c r="H73" s="1698">
        <f>'F1'!J69</f>
        <v>26.400000000000002</v>
      </c>
      <c r="M73" s="1720"/>
      <c r="N73" s="1412"/>
      <c r="O73" s="1453"/>
      <c r="P73" s="1453"/>
      <c r="Q73" s="1453"/>
      <c r="R73" s="1719"/>
      <c r="S73" s="1453"/>
    </row>
    <row r="74" spans="1:19" ht="32.25" thickBot="1">
      <c r="A74" s="1660"/>
      <c r="B74" s="1728">
        <v>4</v>
      </c>
      <c r="C74" s="1699" t="s">
        <v>1947</v>
      </c>
      <c r="D74" s="1727">
        <f>'F1'!F70</f>
        <v>0</v>
      </c>
      <c r="E74" s="1698">
        <f>'F1'!G70</f>
        <v>0</v>
      </c>
      <c r="F74" s="1698">
        <f>'F1'!H70</f>
        <v>0</v>
      </c>
      <c r="G74" s="1698">
        <f>'F1'!I70</f>
        <v>0</v>
      </c>
      <c r="H74" s="1698">
        <f>'F1'!J70</f>
        <v>2.6589122399999996E-6</v>
      </c>
      <c r="M74" s="1718">
        <v>10</v>
      </c>
      <c r="N74" s="15" t="str">
        <f>'F1'!C27</f>
        <v>Sub-total</v>
      </c>
      <c r="O74" s="1454">
        <f>'F1'!I27</f>
        <v>0</v>
      </c>
      <c r="P74" s="1454">
        <f>'F1'!J27</f>
        <v>13.753989900000001</v>
      </c>
      <c r="Q74" s="1454">
        <f>'F1'!K27</f>
        <v>20.46</v>
      </c>
      <c r="R74" s="1454">
        <f>'F1'!L27</f>
        <v>34.213989900000001</v>
      </c>
      <c r="S74" s="1454">
        <f>'F1'!M27</f>
        <v>27.3</v>
      </c>
    </row>
    <row r="75" spans="1:19" ht="48" customHeight="1" thickBot="1">
      <c r="A75" s="1660"/>
      <c r="B75" s="1726">
        <v>5</v>
      </c>
      <c r="C75" s="1725" t="s">
        <v>1946</v>
      </c>
      <c r="D75" s="1723">
        <f>'F1'!F71</f>
        <v>0</v>
      </c>
      <c r="E75" s="1724">
        <f>'F1'!G71</f>
        <v>99.14638429999998</v>
      </c>
      <c r="F75" s="1723">
        <f>'F1'!H71</f>
        <v>133.34793001215803</v>
      </c>
      <c r="G75" s="1723">
        <f>'F1'!I71</f>
        <v>232.49431431215805</v>
      </c>
      <c r="H75" s="1723">
        <f>'F1'!J71</f>
        <v>273.21734200313267</v>
      </c>
      <c r="M75" s="1718" t="str">
        <f>'F1'!B28</f>
        <v>III</v>
      </c>
      <c r="N75" s="2390" t="str">
        <f>'F1'!C28</f>
        <v>Pension Payments</v>
      </c>
      <c r="O75" s="2391"/>
      <c r="P75" s="2391"/>
      <c r="Q75" s="2391"/>
      <c r="R75" s="2391"/>
      <c r="S75" s="2392"/>
    </row>
    <row r="76" spans="1:19" ht="15.75">
      <c r="M76" s="1720">
        <v>11</v>
      </c>
      <c r="N76" s="1412" t="str">
        <f>'F1'!C29</f>
        <v>Basic pension</v>
      </c>
      <c r="O76" s="1453"/>
      <c r="P76" s="1453">
        <f>'F1'!J29</f>
        <v>12.337333999999998</v>
      </c>
      <c r="Q76" s="1453">
        <f>'F1'!K29</f>
        <v>13.74</v>
      </c>
      <c r="R76" s="1719">
        <f>'F1'!L29</f>
        <v>26.077334</v>
      </c>
      <c r="S76" s="1453">
        <f>'F1'!M29</f>
        <v>33.133458069767443</v>
      </c>
    </row>
    <row r="77" spans="1:19" ht="16.5" thickBot="1">
      <c r="M77" s="1720">
        <v>12</v>
      </c>
      <c r="N77" s="1412" t="str">
        <f>'F1'!C32</f>
        <v>Any other expenses</v>
      </c>
      <c r="O77" s="1453"/>
      <c r="P77" s="1453">
        <f>'F1'!J32</f>
        <v>1.4910218999999998</v>
      </c>
      <c r="Q77" s="1453">
        <f>'F1'!K32</f>
        <v>1.639113251158028</v>
      </c>
      <c r="R77" s="1719">
        <f>'F1'!L32</f>
        <v>3.1301351511580275</v>
      </c>
      <c r="S77" s="1453">
        <f>'F1'!M32</f>
        <v>3.5327837002129865</v>
      </c>
    </row>
    <row r="78" spans="1:19" ht="16.5" thickBot="1">
      <c r="A78" s="1660"/>
      <c r="B78" s="1722" t="s">
        <v>331</v>
      </c>
      <c r="C78" s="1712" t="s">
        <v>2699</v>
      </c>
      <c r="D78" s="1665" t="s">
        <v>1752</v>
      </c>
      <c r="E78" s="1665" t="s">
        <v>2590</v>
      </c>
      <c r="K78" s="1712" t="s">
        <v>2699</v>
      </c>
      <c r="M78" s="1720">
        <v>13</v>
      </c>
      <c r="N78" s="1412" t="str">
        <f>'F1'!C34</f>
        <v>Commutation of Pension</v>
      </c>
      <c r="O78" s="1453"/>
      <c r="P78" s="1453">
        <f>'F1'!J34</f>
        <v>0</v>
      </c>
      <c r="Q78" s="1453">
        <f>'F1'!K34</f>
        <v>10.52</v>
      </c>
      <c r="R78" s="1719">
        <f>'F1'!L34</f>
        <v>10.52</v>
      </c>
      <c r="S78" s="1453">
        <f>'F1'!M34</f>
        <v>13.32</v>
      </c>
    </row>
    <row r="79" spans="1:19" ht="16.5" thickBot="1">
      <c r="A79" s="1660"/>
      <c r="B79" s="1663" t="s">
        <v>158</v>
      </c>
      <c r="C79" s="1710" t="s">
        <v>335</v>
      </c>
      <c r="D79" s="1705">
        <f>'F4'!D48</f>
        <v>2801.05</v>
      </c>
      <c r="E79" s="1705">
        <f>'F4'!E48</f>
        <v>4343.0095824335913</v>
      </c>
      <c r="K79" s="1710" t="s">
        <v>335</v>
      </c>
      <c r="M79" s="1718">
        <v>14</v>
      </c>
      <c r="N79" s="15" t="str">
        <f>'F1'!C35</f>
        <v>Sub-total</v>
      </c>
      <c r="O79" s="1455"/>
      <c r="P79" s="1455">
        <f>'F1'!J35</f>
        <v>13.828355899999998</v>
      </c>
      <c r="Q79" s="1455">
        <f>'F1'!K35</f>
        <v>25.899113251158028</v>
      </c>
      <c r="R79" s="1455">
        <f>'F1'!L35</f>
        <v>39.727469151158033</v>
      </c>
      <c r="S79" s="1455">
        <f>'F1'!M35</f>
        <v>49.986241769980431</v>
      </c>
    </row>
    <row r="80" spans="1:19" ht="16.5" thickBot="1">
      <c r="A80" s="1660"/>
      <c r="B80" s="1663" t="s">
        <v>2702</v>
      </c>
      <c r="C80" s="1710" t="s">
        <v>337</v>
      </c>
      <c r="D80" s="1705">
        <f>'F4'!D49</f>
        <v>54.408670200000003</v>
      </c>
      <c r="E80" s="1705">
        <f>'F4'!E49</f>
        <v>60.036537220000014</v>
      </c>
      <c r="K80" s="1710" t="s">
        <v>337</v>
      </c>
      <c r="M80" s="1718">
        <v>15</v>
      </c>
      <c r="N80" s="15" t="str">
        <f>'F1'!C36</f>
        <v>Total</v>
      </c>
      <c r="O80" s="1454"/>
      <c r="P80" s="1454">
        <f>'F1'!J36</f>
        <v>102.90146649999997</v>
      </c>
      <c r="Q80" s="1454">
        <f>'F1'!K36</f>
        <v>140.72284781215802</v>
      </c>
      <c r="R80" s="1454">
        <f>'F1'!L36</f>
        <v>243.62431431215805</v>
      </c>
      <c r="S80" s="1454">
        <f>'F1'!M36</f>
        <v>286.74733934422039</v>
      </c>
    </row>
    <row r="81" spans="1:19" ht="16.5" thickBot="1">
      <c r="A81" s="1660"/>
      <c r="B81" s="1663" t="s">
        <v>2714</v>
      </c>
      <c r="C81" s="1710" t="s">
        <v>339</v>
      </c>
      <c r="D81" s="1705">
        <f>'F4'!D50</f>
        <v>1541.9595824335906</v>
      </c>
      <c r="E81" s="1705">
        <f>'F4'!E50</f>
        <v>1446.3469219483711</v>
      </c>
      <c r="K81" s="1710" t="s">
        <v>339</v>
      </c>
      <c r="M81" s="1720">
        <v>16</v>
      </c>
      <c r="N81" s="1412" t="str">
        <f>'F1'!C37</f>
        <v>Amount capitalized</v>
      </c>
      <c r="O81" s="1453"/>
      <c r="P81" s="1563">
        <f>'F1'!J37</f>
        <v>3.7550821999999999</v>
      </c>
      <c r="Q81" s="1453">
        <f>'F1'!K37</f>
        <v>20.2449178</v>
      </c>
      <c r="R81" s="1719">
        <f>'F1'!L37</f>
        <v>24</v>
      </c>
      <c r="S81" s="1719">
        <f>'F1'!M37</f>
        <v>26.400000000000002</v>
      </c>
    </row>
    <row r="82" spans="1:19" ht="32.25" thickBot="1">
      <c r="A82" s="1660"/>
      <c r="B82" s="1709" t="s">
        <v>2713</v>
      </c>
      <c r="C82" s="1708" t="s">
        <v>2709</v>
      </c>
      <c r="D82" s="1679">
        <f>'F4'!D51</f>
        <v>1.9424383784652183E-2</v>
      </c>
      <c r="E82" s="1679">
        <f>'F4'!E51</f>
        <v>1.3823717420019768E-2</v>
      </c>
      <c r="K82" s="1708" t="s">
        <v>2709</v>
      </c>
      <c r="M82" s="1718">
        <v>17</v>
      </c>
      <c r="N82" s="15" t="str">
        <f>'F1'!C38</f>
        <v>Net amount</v>
      </c>
      <c r="O82" s="1455"/>
      <c r="P82" s="1455">
        <f>'F1'!J38</f>
        <v>99.146384299999966</v>
      </c>
      <c r="Q82" s="1455">
        <f>'F1'!K38</f>
        <v>120.47793001215803</v>
      </c>
      <c r="R82" s="1455">
        <f>'F1'!L38</f>
        <v>219.62431431215805</v>
      </c>
      <c r="S82" s="1455">
        <f>'F1'!M38</f>
        <v>260.34733934422042</v>
      </c>
    </row>
    <row r="83" spans="1:19" ht="79.5" thickBot="1">
      <c r="A83" s="1660"/>
      <c r="B83" s="1707" t="s">
        <v>157</v>
      </c>
      <c r="C83" s="1706" t="s">
        <v>2708</v>
      </c>
      <c r="D83" s="1721">
        <f>'F4'!D52</f>
        <v>14.975807354806046</v>
      </c>
      <c r="E83" s="1721">
        <f>'F4'!E52</f>
        <v>9.9969455701648346</v>
      </c>
      <c r="K83" s="1706" t="s">
        <v>2708</v>
      </c>
      <c r="M83" s="1718">
        <v>18</v>
      </c>
      <c r="N83" s="15" t="str">
        <f>'F1'!C40</f>
        <v xml:space="preserve">Grand total </v>
      </c>
      <c r="O83" s="1455"/>
      <c r="P83" s="1455">
        <f>'F1'!J40</f>
        <v>99.146384299999966</v>
      </c>
      <c r="Q83" s="1455">
        <f>'F1'!K40</f>
        <v>120.47793001215803</v>
      </c>
      <c r="R83" s="1455">
        <f>'F1'!L40</f>
        <v>219.62431431215805</v>
      </c>
      <c r="S83" s="1455">
        <f>'F1'!M40</f>
        <v>260.34733934422042</v>
      </c>
    </row>
    <row r="84" spans="1:19" ht="15.75">
      <c r="M84" s="1720">
        <v>19</v>
      </c>
      <c r="N84" s="1412" t="str">
        <f>'F1'!C41</f>
        <v>Arrears</v>
      </c>
      <c r="O84" s="1454">
        <f>'F1'!I41</f>
        <v>0</v>
      </c>
      <c r="P84" s="1563">
        <f>'F1'!J41</f>
        <v>0</v>
      </c>
      <c r="Q84" s="1453">
        <f>'F1'!K41</f>
        <v>12.87</v>
      </c>
      <c r="R84" s="1453">
        <f>'F1'!L41</f>
        <v>12.87</v>
      </c>
      <c r="S84" s="1719">
        <f>'F1'!M41</f>
        <v>12.87</v>
      </c>
    </row>
    <row r="85" spans="1:19" ht="16.5" thickBot="1">
      <c r="M85" s="1718">
        <v>20</v>
      </c>
      <c r="N85" s="15" t="str">
        <f>'F1'!C42</f>
        <v>Total</v>
      </c>
      <c r="O85" s="1455">
        <f>'F1'!I42</f>
        <v>211.12</v>
      </c>
      <c r="P85" s="1455">
        <f>'F1'!J42</f>
        <v>99.146384299999966</v>
      </c>
      <c r="Q85" s="1455">
        <f>'F1'!K42</f>
        <v>133.34793001215803</v>
      </c>
      <c r="R85" s="1455">
        <f>'F1'!L42</f>
        <v>232.49431431215805</v>
      </c>
      <c r="S85" s="1455">
        <f>'F1'!M42</f>
        <v>273.21733934422042</v>
      </c>
    </row>
    <row r="86" spans="1:19" ht="16.5" thickBot="1">
      <c r="A86" s="1660"/>
      <c r="B86" s="2382" t="s">
        <v>1003</v>
      </c>
      <c r="C86" s="2382" t="s">
        <v>331</v>
      </c>
      <c r="D86" s="2384" t="s">
        <v>1752</v>
      </c>
      <c r="E86" s="2385"/>
      <c r="F86" s="2385"/>
      <c r="G86" s="2386"/>
      <c r="H86" s="2382" t="s">
        <v>2590</v>
      </c>
    </row>
    <row r="87" spans="1:19" ht="16.5" thickBot="1">
      <c r="A87" s="1660"/>
      <c r="B87" s="2383"/>
      <c r="C87" s="2383"/>
      <c r="D87" s="1664" t="s">
        <v>1036</v>
      </c>
      <c r="E87" s="1664" t="s">
        <v>1229</v>
      </c>
      <c r="F87" s="1664" t="s">
        <v>1230</v>
      </c>
      <c r="G87" s="1664" t="s">
        <v>1952</v>
      </c>
      <c r="H87" s="2383"/>
    </row>
    <row r="88" spans="1:19" ht="16.5" thickBot="1">
      <c r="A88" s="1660"/>
      <c r="B88" s="1663">
        <v>1</v>
      </c>
      <c r="C88" s="1662" t="s">
        <v>1950</v>
      </c>
      <c r="D88" s="2393"/>
      <c r="E88" s="1715">
        <f>'F4'!G38</f>
        <v>10.358670199999999</v>
      </c>
      <c r="F88" s="1715">
        <f>'F4'!H38</f>
        <v>44.220000000000013</v>
      </c>
      <c r="G88" s="1715">
        <f>'F4'!I38</f>
        <v>54.578670200000005</v>
      </c>
      <c r="H88" s="1715">
        <f>'F4'!J38</f>
        <v>60.036537220000014</v>
      </c>
    </row>
    <row r="89" spans="1:19" ht="16.5" hidden="1" thickBot="1">
      <c r="A89" s="1660"/>
      <c r="B89" s="1663">
        <v>2</v>
      </c>
      <c r="C89" s="1662" t="s">
        <v>2546</v>
      </c>
      <c r="D89" s="2394"/>
      <c r="E89" s="1715">
        <f>'F4'!G39</f>
        <v>0</v>
      </c>
      <c r="F89" s="1715">
        <f>'F4'!H39</f>
        <v>0</v>
      </c>
      <c r="G89" s="1715">
        <f>'F4'!I39</f>
        <v>0</v>
      </c>
      <c r="H89" s="1717">
        <f>'F4'!J39</f>
        <v>0</v>
      </c>
    </row>
    <row r="90" spans="1:19" ht="32.25" thickBot="1">
      <c r="A90" s="1660"/>
      <c r="B90" s="1663">
        <v>2</v>
      </c>
      <c r="C90" s="1680" t="s">
        <v>2418</v>
      </c>
      <c r="D90" s="2394"/>
      <c r="E90" s="1716"/>
      <c r="F90" s="1841">
        <f>'F4'!$H$40</f>
        <v>14.975807354806046</v>
      </c>
      <c r="G90" s="1715">
        <f>'F4'!I40</f>
        <v>14.975807354806046</v>
      </c>
      <c r="H90" s="1715">
        <f>'F4'!J40</f>
        <v>9.9969455701648346</v>
      </c>
    </row>
    <row r="91" spans="1:19" ht="16.5" thickBot="1">
      <c r="A91" s="1660"/>
      <c r="B91" s="1663">
        <v>3</v>
      </c>
      <c r="C91" s="1662" t="s">
        <v>2712</v>
      </c>
      <c r="D91" s="2395"/>
      <c r="E91" s="1715">
        <f>'F4'!G41</f>
        <v>0.17</v>
      </c>
      <c r="F91" s="1715">
        <f>'F4'!H41</f>
        <v>0</v>
      </c>
      <c r="G91" s="1715">
        <f>'F4'!I41</f>
        <v>0.17</v>
      </c>
      <c r="H91" s="1715">
        <f>'F4'!J41</f>
        <v>0</v>
      </c>
    </row>
    <row r="92" spans="1:19" ht="16.5" thickBot="1">
      <c r="A92" s="1660"/>
      <c r="B92" s="1691">
        <v>4</v>
      </c>
      <c r="C92" s="1683" t="s">
        <v>1951</v>
      </c>
      <c r="D92" s="1714">
        <f>'F4'!I27</f>
        <v>68.89</v>
      </c>
      <c r="E92" s="1714">
        <f>'F4'!G42</f>
        <v>10.188670199999999</v>
      </c>
      <c r="F92" s="1714">
        <f>'F4'!H42</f>
        <v>59.195807354806057</v>
      </c>
      <c r="G92" s="1714">
        <f>'F4'!I42</f>
        <v>69.384477554806054</v>
      </c>
      <c r="H92" s="1714">
        <f>'F4'!J42</f>
        <v>70.033482790164854</v>
      </c>
    </row>
    <row r="94" spans="1:19" ht="15.75" thickBot="1"/>
    <row r="95" spans="1:19" ht="16.5" thickBot="1">
      <c r="A95" s="1660"/>
      <c r="B95" s="1713" t="s">
        <v>331</v>
      </c>
      <c r="C95" s="1712" t="s">
        <v>2699</v>
      </c>
      <c r="D95" s="1711" t="s">
        <v>1752</v>
      </c>
      <c r="E95" s="1711" t="s">
        <v>2590</v>
      </c>
    </row>
    <row r="96" spans="1:19" ht="16.5" thickBot="1">
      <c r="A96" s="1660"/>
      <c r="B96" s="1709" t="s">
        <v>158</v>
      </c>
      <c r="C96" s="1710" t="s">
        <v>335</v>
      </c>
      <c r="D96" s="1705">
        <f>'F5'!D57</f>
        <v>2801.05</v>
      </c>
      <c r="E96" s="1705">
        <f>'F5'!E57</f>
        <v>4343.0095824335913</v>
      </c>
    </row>
    <row r="97" spans="1:21" ht="16.5" thickBot="1">
      <c r="A97" s="1660"/>
      <c r="B97" s="1709" t="s">
        <v>2711</v>
      </c>
      <c r="C97" s="1710" t="s">
        <v>337</v>
      </c>
      <c r="D97" s="1705">
        <f>'F5'!D58</f>
        <v>25.103304141199999</v>
      </c>
      <c r="E97" s="1705">
        <f>'F5'!E58</f>
        <v>34.724394762379994</v>
      </c>
    </row>
    <row r="98" spans="1:21" ht="48" thickBot="1">
      <c r="A98" s="1660"/>
      <c r="B98" s="1709" t="s">
        <v>2710</v>
      </c>
      <c r="C98" s="1710" t="s">
        <v>339</v>
      </c>
      <c r="D98" s="1705">
        <f>'F5'!D59</f>
        <v>1541.9595824335906</v>
      </c>
      <c r="E98" s="1705">
        <f>'F5'!E59</f>
        <v>1446.3469219483711</v>
      </c>
    </row>
    <row r="99" spans="1:21" ht="48" thickBot="1">
      <c r="A99" s="1660"/>
      <c r="B99" s="1709" t="s">
        <v>2237</v>
      </c>
      <c r="C99" s="1708" t="s">
        <v>2709</v>
      </c>
      <c r="D99" s="1679">
        <f>'F5'!D60</f>
        <v>8.9621049753485296E-3</v>
      </c>
      <c r="E99" s="1679">
        <f>'F5'!E60</f>
        <v>7.9954681432966804E-3</v>
      </c>
    </row>
    <row r="100" spans="1:21" ht="79.5" thickBot="1">
      <c r="A100" s="1660"/>
      <c r="B100" s="1707" t="s">
        <v>159</v>
      </c>
      <c r="C100" s="1706" t="s">
        <v>2708</v>
      </c>
      <c r="D100" s="1705">
        <f>'F5'!D61</f>
        <v>6.909601822757212</v>
      </c>
      <c r="E100" s="1705">
        <f>'F5'!E61</f>
        <v>5.7821103692967055</v>
      </c>
    </row>
    <row r="102" spans="1:21" ht="15.75" thickBot="1"/>
    <row r="103" spans="1:21" ht="79.5" thickBot="1">
      <c r="B103" s="2401" t="s">
        <v>1003</v>
      </c>
      <c r="C103" s="2401" t="s">
        <v>282</v>
      </c>
      <c r="D103" s="2404" t="s">
        <v>1752</v>
      </c>
      <c r="E103" s="2405"/>
      <c r="F103" s="2405"/>
      <c r="G103" s="2405"/>
      <c r="H103" s="2406"/>
      <c r="I103" s="1704" t="s">
        <v>2590</v>
      </c>
      <c r="N103" s="2396" t="str">
        <f>'F5'!B7</f>
        <v>S. No</v>
      </c>
      <c r="O103" s="2396" t="str">
        <f>'F5'!C7</f>
        <v xml:space="preserve">Particulars </v>
      </c>
      <c r="P103" s="2398" t="str">
        <f>'F5'!H7</f>
        <v>Current Year (FY 2012-13)</v>
      </c>
      <c r="Q103" s="2399">
        <f>'F5'!I7</f>
        <v>0</v>
      </c>
      <c r="R103" s="2399">
        <f>'F5'!J7</f>
        <v>0</v>
      </c>
      <c r="S103" s="2399">
        <f>'F5'!K7</f>
        <v>0</v>
      </c>
      <c r="T103" s="2400">
        <f>'F5'!L7</f>
        <v>0</v>
      </c>
      <c r="U103" s="1648" t="str">
        <f>'F5'!M7</f>
        <v>Ensuing Year (FY 2013-14)</v>
      </c>
    </row>
    <row r="104" spans="1:21" ht="48" thickBot="1">
      <c r="B104" s="2403"/>
      <c r="C104" s="2403"/>
      <c r="D104" s="1703" t="s">
        <v>1035</v>
      </c>
      <c r="E104" s="1703" t="s">
        <v>1036</v>
      </c>
      <c r="F104" s="1703" t="s">
        <v>1047</v>
      </c>
      <c r="G104" s="1703" t="s">
        <v>2566</v>
      </c>
      <c r="H104" s="1703" t="s">
        <v>287</v>
      </c>
      <c r="I104" s="1703" t="s">
        <v>1040</v>
      </c>
      <c r="N104" s="2397">
        <f>'F5'!B8</f>
        <v>0</v>
      </c>
      <c r="O104" s="2397">
        <f>'F5'!C8</f>
        <v>0</v>
      </c>
      <c r="P104" s="1465" t="str">
        <f>'F5'!H8</f>
        <v>Last Year Petition</v>
      </c>
      <c r="Q104" s="1457" t="str">
        <f>'F5'!I8</f>
        <v>Order</v>
      </c>
      <c r="R104" s="1457" t="str">
        <f>'F5'!J8</f>
        <v>Actuals for H1</v>
      </c>
      <c r="S104" s="1457" t="str">
        <f>'F5'!K8</f>
        <v>Estimated for H2</v>
      </c>
      <c r="T104" s="1458" t="str">
        <f>'F5'!L8</f>
        <v>Total</v>
      </c>
      <c r="U104" s="1468" t="str">
        <f>'F5'!M8</f>
        <v>Projected</v>
      </c>
    </row>
    <row r="105" spans="1:21" ht="16.5" thickBot="1">
      <c r="B105" s="1696">
        <v>1</v>
      </c>
      <c r="C105" s="1699" t="s">
        <v>318</v>
      </c>
      <c r="D105" s="1698">
        <f>'F5'!H10</f>
        <v>1.23</v>
      </c>
      <c r="E105" s="2401"/>
      <c r="F105" s="1698">
        <f>'F5'!J10</f>
        <v>0.71110810000000002</v>
      </c>
      <c r="G105" s="1698">
        <f>'F5'!K10</f>
        <v>0.85332971999999996</v>
      </c>
      <c r="H105" s="1698">
        <f>'F5'!L10</f>
        <v>1.56443782</v>
      </c>
      <c r="I105" s="1698">
        <f>'F5'!M10</f>
        <v>1.7991034929999998</v>
      </c>
      <c r="N105" s="1651">
        <f>'F5'!B10</f>
        <v>1</v>
      </c>
      <c r="O105" s="1570" t="str">
        <f>'F5'!C10</f>
        <v>Rent, rates &amp; taxes</v>
      </c>
      <c r="P105" s="1571">
        <f>'F5'!H10</f>
        <v>1.23</v>
      </c>
      <c r="Q105" s="1702"/>
      <c r="R105" s="1649">
        <f>'F5'!J10</f>
        <v>0.71110810000000002</v>
      </c>
      <c r="S105" s="1649">
        <f>'F5'!K10</f>
        <v>0.85332971999999996</v>
      </c>
      <c r="T105" s="1650">
        <f>'F5'!L10</f>
        <v>1.56443782</v>
      </c>
      <c r="U105" s="1572">
        <f>'F5'!M10</f>
        <v>1.7991034929999998</v>
      </c>
    </row>
    <row r="106" spans="1:21" ht="16.5" thickBot="1">
      <c r="B106" s="1696">
        <v>2</v>
      </c>
      <c r="C106" s="1699" t="s">
        <v>319</v>
      </c>
      <c r="D106" s="1698">
        <f>'F5'!H11</f>
        <v>1.1000000000000001</v>
      </c>
      <c r="E106" s="2402"/>
      <c r="F106" s="1698">
        <f>'F5'!J11</f>
        <v>5.3457999999999995E-3</v>
      </c>
      <c r="G106" s="1698">
        <f>'F5'!K11</f>
        <v>6.4149599999999991E-3</v>
      </c>
      <c r="H106" s="1698">
        <f>'F5'!L11</f>
        <v>1.1760759999999999E-2</v>
      </c>
      <c r="I106" s="1698">
        <f>'F5'!M11</f>
        <v>1.3524873999999997E-2</v>
      </c>
      <c r="N106" s="1627">
        <f>'F5'!B11</f>
        <v>2</v>
      </c>
      <c r="O106" s="1473" t="str">
        <f>'F5'!C11</f>
        <v>Insurance</v>
      </c>
      <c r="P106" s="1459">
        <f>'F5'!H11</f>
        <v>1.1000000000000001</v>
      </c>
      <c r="Q106" s="1693"/>
      <c r="R106" s="1463">
        <f>'F5'!J11</f>
        <v>5.3457999999999995E-3</v>
      </c>
      <c r="S106" s="1649">
        <f>'F5'!K11</f>
        <v>6.4149599999999991E-3</v>
      </c>
      <c r="T106" s="1567">
        <f>'F5'!L11</f>
        <v>1.1760759999999999E-2</v>
      </c>
      <c r="U106" s="1575">
        <f>'F5'!M11</f>
        <v>1.3524873999999997E-2</v>
      </c>
    </row>
    <row r="107" spans="1:21" ht="16.5" thickBot="1">
      <c r="B107" s="1696">
        <v>3</v>
      </c>
      <c r="C107" s="1699" t="s">
        <v>320</v>
      </c>
      <c r="D107" s="1698">
        <f>'F5'!H12</f>
        <v>0.49040000000000006</v>
      </c>
      <c r="E107" s="2402"/>
      <c r="F107" s="1698">
        <f>'F5'!J12</f>
        <v>0.19398700000000002</v>
      </c>
      <c r="G107" s="1698">
        <f>'F5'!K12</f>
        <v>0.2327844</v>
      </c>
      <c r="H107" s="1698">
        <f>'F5'!L12</f>
        <v>0.42677140000000002</v>
      </c>
      <c r="I107" s="1698">
        <f>'F5'!M12</f>
        <v>0.49078710999999997</v>
      </c>
      <c r="N107" s="1627">
        <f>'F5'!B12</f>
        <v>3</v>
      </c>
      <c r="O107" s="1473" t="str">
        <f>'F5'!C12</f>
        <v>Telephone, postage &amp; telegrams</v>
      </c>
      <c r="P107" s="1459">
        <f>'F5'!H12</f>
        <v>0.49040000000000006</v>
      </c>
      <c r="Q107" s="1693"/>
      <c r="R107" s="1463">
        <f>'F5'!J12</f>
        <v>0.19398700000000002</v>
      </c>
      <c r="S107" s="1463">
        <f>'F5'!K12</f>
        <v>0.2327844</v>
      </c>
      <c r="T107" s="1567">
        <f>'F5'!L12</f>
        <v>0.42677140000000002</v>
      </c>
      <c r="U107" s="1575">
        <f>'F5'!M12</f>
        <v>0.49078710999999997</v>
      </c>
    </row>
    <row r="108" spans="1:21" ht="16.5" thickBot="1">
      <c r="B108" s="1696">
        <v>4</v>
      </c>
      <c r="C108" s="1699" t="s">
        <v>321</v>
      </c>
      <c r="D108" s="1698">
        <f>'F5'!H13</f>
        <v>1</v>
      </c>
      <c r="E108" s="2402"/>
      <c r="F108" s="1698">
        <f>'F5'!J13</f>
        <v>0.1104945</v>
      </c>
      <c r="G108" s="1698">
        <f>'F5'!K13</f>
        <v>0.1325934</v>
      </c>
      <c r="H108" s="1698">
        <f>'F5'!L13</f>
        <v>0.2430879</v>
      </c>
      <c r="I108" s="1698">
        <f>'F5'!M13</f>
        <v>0.27955108499999998</v>
      </c>
      <c r="N108" s="1627">
        <f>'F5'!B13</f>
        <v>4</v>
      </c>
      <c r="O108" s="1473" t="str">
        <f>'F5'!C13</f>
        <v>Consultancy fees</v>
      </c>
      <c r="P108" s="1459">
        <f>'F5'!H13</f>
        <v>1</v>
      </c>
      <c r="Q108" s="1693"/>
      <c r="R108" s="1463">
        <f>'F5'!J13</f>
        <v>0.1104945</v>
      </c>
      <c r="S108" s="1463">
        <f>'F5'!K13</f>
        <v>0.1325934</v>
      </c>
      <c r="T108" s="1567">
        <f>'F5'!L13</f>
        <v>0.2430879</v>
      </c>
      <c r="U108" s="1575">
        <f>'F5'!M13</f>
        <v>0.27955108499999998</v>
      </c>
    </row>
    <row r="109" spans="1:21" ht="32.25" thickBot="1">
      <c r="B109" s="1696">
        <v>5</v>
      </c>
      <c r="C109" s="1699" t="s">
        <v>2707</v>
      </c>
      <c r="D109" s="1698">
        <f>'F5'!H15+'F5'!H16</f>
        <v>0.02</v>
      </c>
      <c r="E109" s="2402"/>
      <c r="F109" s="1698">
        <f>'F5'!J15+'F5'!J16</f>
        <v>1.1689E-2</v>
      </c>
      <c r="G109" s="1698">
        <f>'F5'!K15+'F5'!K16</f>
        <v>1.4026799999999999E-2</v>
      </c>
      <c r="H109" s="1698">
        <f>'F5'!L15+'F5'!L16</f>
        <v>2.5715799999999997E-2</v>
      </c>
      <c r="I109" s="1698">
        <f>'F5'!M15+'F5'!M16</f>
        <v>2.9573169999999996E-2</v>
      </c>
      <c r="N109" s="1627">
        <f>'F5'!B14</f>
        <v>5</v>
      </c>
      <c r="O109" s="1473" t="str">
        <f>'F5'!C14</f>
        <v>IT related expenses</v>
      </c>
      <c r="P109" s="1459">
        <f>'F5'!H14</f>
        <v>0</v>
      </c>
      <c r="Q109" s="1693"/>
      <c r="R109" s="1463">
        <f>'F5'!J14</f>
        <v>0</v>
      </c>
      <c r="S109" s="1463">
        <f>'F5'!K14</f>
        <v>0.23499999999999999</v>
      </c>
      <c r="T109" s="1567">
        <f>'F5'!L14</f>
        <v>0.23499999999999999</v>
      </c>
      <c r="U109" s="1575">
        <f>'F5'!M14</f>
        <v>0.47</v>
      </c>
    </row>
    <row r="110" spans="1:21" ht="16.5" thickBot="1">
      <c r="B110" s="1696">
        <v>7</v>
      </c>
      <c r="C110" s="1699" t="s">
        <v>324</v>
      </c>
      <c r="D110" s="1698">
        <f>'F5'!H17</f>
        <v>9.07</v>
      </c>
      <c r="E110" s="2402"/>
      <c r="F110" s="1698">
        <f>'F5'!J17</f>
        <v>3.2115292000000002</v>
      </c>
      <c r="G110" s="1698">
        <f>'F5'!K17</f>
        <v>3.8538350399999999</v>
      </c>
      <c r="H110" s="1698">
        <f>'F5'!L17</f>
        <v>7.0653642400000001</v>
      </c>
      <c r="I110" s="1698">
        <f>'F5'!M17</f>
        <v>8.125168876</v>
      </c>
      <c r="N110" s="1627">
        <f>'F5'!B15</f>
        <v>6</v>
      </c>
      <c r="O110" s="1473" t="str">
        <f>'F5'!C15</f>
        <v>Technical fees</v>
      </c>
      <c r="P110" s="1459">
        <f>'F5'!H15</f>
        <v>0.01</v>
      </c>
      <c r="Q110" s="1693"/>
      <c r="R110" s="1463">
        <f>'F5'!J15</f>
        <v>8.0800000000000004E-3</v>
      </c>
      <c r="S110" s="1463">
        <f>'F5'!K15</f>
        <v>9.6959999999999998E-3</v>
      </c>
      <c r="T110" s="1567">
        <f>'F5'!L15</f>
        <v>1.7776E-2</v>
      </c>
      <c r="U110" s="1575">
        <f>'F5'!M15</f>
        <v>2.0442399999999999E-2</v>
      </c>
    </row>
    <row r="111" spans="1:21" ht="16.5" thickBot="1">
      <c r="B111" s="1696">
        <v>8</v>
      </c>
      <c r="C111" s="1699" t="s">
        <v>325</v>
      </c>
      <c r="D111" s="1698">
        <f>'F5'!H18</f>
        <v>0.31</v>
      </c>
      <c r="E111" s="2402"/>
      <c r="F111" s="1698">
        <f>'F5'!J18</f>
        <v>0.3533307</v>
      </c>
      <c r="G111" s="1698">
        <f>'F5'!K18</f>
        <v>0.42399683999999999</v>
      </c>
      <c r="H111" s="1698">
        <f>'F5'!L18</f>
        <v>0.77732753999999993</v>
      </c>
      <c r="I111" s="1698">
        <f>'F5'!M18</f>
        <v>0.89392667099999989</v>
      </c>
      <c r="N111" s="1627">
        <f>'F5'!B16</f>
        <v>7</v>
      </c>
      <c r="O111" s="1473" t="str">
        <f>'F5'!C16</f>
        <v>Other professional charges</v>
      </c>
      <c r="P111" s="1459">
        <f>'F5'!H16</f>
        <v>0.01</v>
      </c>
      <c r="Q111" s="1693"/>
      <c r="R111" s="1622">
        <f>'F5'!J16</f>
        <v>3.6089999999999998E-3</v>
      </c>
      <c r="S111" s="1622">
        <f>'F5'!K16</f>
        <v>4.3307999999999992E-3</v>
      </c>
      <c r="T111" s="1567">
        <f>'F5'!L16</f>
        <v>7.9397999999999986E-3</v>
      </c>
      <c r="U111" s="1575">
        <f>'F5'!M16</f>
        <v>9.1307699999999981E-3</v>
      </c>
    </row>
    <row r="112" spans="1:21" ht="16.5" thickBot="1">
      <c r="B112" s="1696">
        <v>9</v>
      </c>
      <c r="C112" s="1699" t="s">
        <v>303</v>
      </c>
      <c r="D112" s="1698">
        <f>'F5'!H19</f>
        <v>2.97</v>
      </c>
      <c r="E112" s="2402"/>
      <c r="F112" s="1698">
        <f>'F5'!J19</f>
        <v>1.0302017999999988</v>
      </c>
      <c r="G112" s="1698">
        <f>'F5'!K19</f>
        <v>1.2362421599999986</v>
      </c>
      <c r="H112" s="1698">
        <f>'F5'!L19</f>
        <v>2.2664439599999975</v>
      </c>
      <c r="I112" s="1698">
        <f>'F5'!M19</f>
        <v>2.6064105539999969</v>
      </c>
      <c r="N112" s="1627">
        <f>'F5'!B17</f>
        <v>8</v>
      </c>
      <c r="O112" s="1473" t="str">
        <f>'F5'!C17</f>
        <v>Conveyance &amp; travel expenses</v>
      </c>
      <c r="P112" s="1459">
        <f>'F5'!H17</f>
        <v>9.07</v>
      </c>
      <c r="Q112" s="1693"/>
      <c r="R112" s="1463">
        <f>'F5'!J17</f>
        <v>3.2115292000000002</v>
      </c>
      <c r="S112" s="1463">
        <f>'F5'!K17</f>
        <v>3.8538350399999999</v>
      </c>
      <c r="T112" s="1567">
        <f>'F5'!L17</f>
        <v>7.0653642400000001</v>
      </c>
      <c r="U112" s="1575">
        <f>'F5'!M17</f>
        <v>8.125168876</v>
      </c>
    </row>
    <row r="113" spans="2:25" ht="16.5" thickBot="1">
      <c r="B113" s="1696">
        <v>10</v>
      </c>
      <c r="C113" s="1699" t="s">
        <v>2706</v>
      </c>
      <c r="D113" s="1698">
        <f>'F5'!H20</f>
        <v>28.31</v>
      </c>
      <c r="E113" s="2402"/>
      <c r="F113" s="1698">
        <f>'F5'!J20</f>
        <v>1.5579436</v>
      </c>
      <c r="G113" s="1698">
        <f>'F5'!K20</f>
        <v>5.3071950212000001</v>
      </c>
      <c r="H113" s="1698">
        <f>'F5'!L20</f>
        <v>6.8651386211999998</v>
      </c>
      <c r="I113" s="1698">
        <f>'F5'!M20</f>
        <v>7.8949094143799989</v>
      </c>
      <c r="N113" s="1627">
        <f>'F5'!B18</f>
        <v>9</v>
      </c>
      <c r="O113" s="1473" t="str">
        <f>'F5'!C18</f>
        <v>Electricity &amp; water charges</v>
      </c>
      <c r="P113" s="1459">
        <f>'F5'!H18</f>
        <v>0.31</v>
      </c>
      <c r="Q113" s="1693"/>
      <c r="R113" s="1463">
        <f>'F5'!J18</f>
        <v>0.3533307</v>
      </c>
      <c r="S113" s="1463">
        <f>'F5'!K18</f>
        <v>0.42399683999999999</v>
      </c>
      <c r="T113" s="1567">
        <f>'F5'!L18</f>
        <v>0.77732753999999993</v>
      </c>
      <c r="U113" s="1575">
        <f>'F5'!M18</f>
        <v>0.89392667099999989</v>
      </c>
    </row>
    <row r="114" spans="2:25" ht="16.5" thickBot="1">
      <c r="B114" s="1696">
        <v>11</v>
      </c>
      <c r="C114" s="1699" t="s">
        <v>326</v>
      </c>
      <c r="D114" s="1698">
        <f>'F5'!H21</f>
        <v>0.13</v>
      </c>
      <c r="E114" s="2402"/>
      <c r="F114" s="1698">
        <f>'F5'!J21</f>
        <v>0</v>
      </c>
      <c r="G114" s="1698">
        <f>'F5'!K21</f>
        <v>0</v>
      </c>
      <c r="H114" s="1698">
        <f>'F5'!L21</f>
        <v>0</v>
      </c>
      <c r="I114" s="1698">
        <f>'F5'!M21</f>
        <v>0</v>
      </c>
      <c r="N114" s="1627">
        <f>'F5'!B19</f>
        <v>10</v>
      </c>
      <c r="O114" s="1473" t="str">
        <f>'F5'!C19</f>
        <v>Others</v>
      </c>
      <c r="P114" s="1459">
        <f>'F5'!H19</f>
        <v>2.97</v>
      </c>
      <c r="Q114" s="1693"/>
      <c r="R114" s="1463">
        <f>'F5'!J19</f>
        <v>1.0302017999999988</v>
      </c>
      <c r="S114" s="1463">
        <f>'F5'!K19</f>
        <v>1.2362421599999986</v>
      </c>
      <c r="T114" s="1567">
        <f>'F5'!L19</f>
        <v>2.2664439599999975</v>
      </c>
      <c r="U114" s="1575">
        <f>'F5'!M19</f>
        <v>2.6064105539999969</v>
      </c>
    </row>
    <row r="115" spans="2:25" ht="16.5" thickBot="1">
      <c r="B115" s="1696">
        <v>12</v>
      </c>
      <c r="C115" s="1699" t="s">
        <v>327</v>
      </c>
      <c r="D115" s="1698">
        <f>'F5'!H22</f>
        <v>3.04</v>
      </c>
      <c r="E115" s="2402"/>
      <c r="F115" s="1698">
        <f>'F5'!J22</f>
        <v>1.2175255</v>
      </c>
      <c r="G115" s="1698">
        <f>'F5'!K22</f>
        <v>1.4610306</v>
      </c>
      <c r="H115" s="1698">
        <f>'F5'!L22</f>
        <v>2.6785560999999998</v>
      </c>
      <c r="I115" s="1698">
        <f>'F5'!M22</f>
        <v>3.0803395149999995</v>
      </c>
      <c r="N115" s="1627">
        <f>'F5'!B20</f>
        <v>11</v>
      </c>
      <c r="O115" s="1473" t="str">
        <f>'F5'!C20</f>
        <v>Outsourcing Exp. (incl of 400kV)</v>
      </c>
      <c r="P115" s="1459">
        <f>'F5'!H20</f>
        <v>28.31</v>
      </c>
      <c r="Q115" s="1693"/>
      <c r="R115" s="1463">
        <f>'F5'!J20</f>
        <v>1.5579436</v>
      </c>
      <c r="S115" s="1624">
        <f>'F5'!K20</f>
        <v>5.3071950212000001</v>
      </c>
      <c r="T115" s="1567">
        <f>'F5'!L20</f>
        <v>6.8651386211999998</v>
      </c>
      <c r="U115" s="1575">
        <f>'F5'!M20</f>
        <v>7.8949094143799989</v>
      </c>
    </row>
    <row r="116" spans="2:25" ht="16.5" thickBot="1">
      <c r="B116" s="1696">
        <v>13</v>
      </c>
      <c r="C116" s="1699" t="s">
        <v>2387</v>
      </c>
      <c r="D116" s="1698">
        <f>'F5'!H23</f>
        <v>0.25</v>
      </c>
      <c r="E116" s="2402"/>
      <c r="F116" s="1698">
        <f>'F5'!J23</f>
        <v>0</v>
      </c>
      <c r="G116" s="1698">
        <f>'F5'!K23</f>
        <v>0.25</v>
      </c>
      <c r="H116" s="1698">
        <f>'F5'!L23</f>
        <v>0.25</v>
      </c>
      <c r="I116" s="1698">
        <f>'F5'!M23</f>
        <v>0.25</v>
      </c>
      <c r="N116" s="1627">
        <f>'F5'!B21</f>
        <v>12</v>
      </c>
      <c r="O116" s="1473" t="str">
        <f>'F5'!C21</f>
        <v>Freight</v>
      </c>
      <c r="P116" s="1459">
        <f>'F5'!H21</f>
        <v>0.13</v>
      </c>
      <c r="Q116" s="1693"/>
      <c r="R116" s="1463">
        <f>'F5'!J21</f>
        <v>0</v>
      </c>
      <c r="S116" s="1463">
        <f>'F5'!K21</f>
        <v>0</v>
      </c>
      <c r="T116" s="1567">
        <f>'F5'!L21</f>
        <v>0</v>
      </c>
      <c r="U116" s="1575">
        <f>'F5'!M21</f>
        <v>0</v>
      </c>
    </row>
    <row r="117" spans="2:25" ht="16.5" thickBot="1">
      <c r="B117" s="1696">
        <v>14</v>
      </c>
      <c r="C117" s="1699" t="s">
        <v>2388</v>
      </c>
      <c r="D117" s="1698">
        <f>'F5'!H24</f>
        <v>0.25</v>
      </c>
      <c r="E117" s="2402"/>
      <c r="F117" s="1698">
        <f>'F5'!J24</f>
        <v>0</v>
      </c>
      <c r="G117" s="1698">
        <f>'F5'!K24</f>
        <v>0.25</v>
      </c>
      <c r="H117" s="1698">
        <f>'F5'!L24</f>
        <v>0.25</v>
      </c>
      <c r="I117" s="1698">
        <f>'F5'!M24</f>
        <v>0.25</v>
      </c>
      <c r="N117" s="1627">
        <f>'F5'!B22</f>
        <v>13</v>
      </c>
      <c r="O117" s="1473" t="str">
        <f>'F5'!C22</f>
        <v>Other material related expenses</v>
      </c>
      <c r="P117" s="1459">
        <f>'F5'!H22</f>
        <v>3.04</v>
      </c>
      <c r="Q117" s="1693"/>
      <c r="R117" s="1463">
        <f>'F5'!J22</f>
        <v>1.2175255</v>
      </c>
      <c r="S117" s="1463">
        <f>'F5'!K22</f>
        <v>1.4610306</v>
      </c>
      <c r="T117" s="1567">
        <f>'F5'!L22</f>
        <v>2.6785560999999998</v>
      </c>
      <c r="U117" s="1575">
        <f>'F5'!M22</f>
        <v>3.0803395149999995</v>
      </c>
    </row>
    <row r="118" spans="2:25" ht="16.5" thickBot="1">
      <c r="B118" s="1696">
        <v>15</v>
      </c>
      <c r="C118" s="1699" t="s">
        <v>380</v>
      </c>
      <c r="D118" s="1698">
        <f>'F5'!H25</f>
        <v>0.98</v>
      </c>
      <c r="E118" s="2402"/>
      <c r="F118" s="1698">
        <f>'F5'!J25</f>
        <v>0.63</v>
      </c>
      <c r="G118" s="1698">
        <f>'F5'!K25</f>
        <v>0.75600000000000001</v>
      </c>
      <c r="H118" s="1698">
        <f>'F5'!L25</f>
        <v>1.3860000000000001</v>
      </c>
      <c r="I118" s="1698">
        <f>'F5'!M25</f>
        <v>1.5939000000000001</v>
      </c>
      <c r="N118" s="1627">
        <f>'F5'!B23</f>
        <v>14</v>
      </c>
      <c r="O118" s="1473" t="str">
        <f>'F5'!C23</f>
        <v>License Fees</v>
      </c>
      <c r="P118" s="1459">
        <f>'F5'!H23</f>
        <v>0.25</v>
      </c>
      <c r="Q118" s="1693"/>
      <c r="R118" s="1463">
        <f>'F5'!J23</f>
        <v>0</v>
      </c>
      <c r="S118" s="1463">
        <f>'F5'!K23</f>
        <v>0.25</v>
      </c>
      <c r="T118" s="1567">
        <f>'F5'!L23</f>
        <v>0.25</v>
      </c>
      <c r="U118" s="1575">
        <f>'F5'!M23</f>
        <v>0.25</v>
      </c>
    </row>
    <row r="119" spans="2:25" ht="16.5" thickBot="1">
      <c r="B119" s="1696">
        <v>16</v>
      </c>
      <c r="C119" s="1699" t="s">
        <v>2472</v>
      </c>
      <c r="D119" s="1698">
        <f>'F5'!H26</f>
        <v>0.1</v>
      </c>
      <c r="E119" s="2402"/>
      <c r="F119" s="1698">
        <f>'F5'!J26</f>
        <v>0</v>
      </c>
      <c r="G119" s="1698">
        <f>'F5'!K26</f>
        <v>7.0000000000000007E-2</v>
      </c>
      <c r="H119" s="1698">
        <f>'F5'!L26</f>
        <v>7.0000000000000007E-2</v>
      </c>
      <c r="I119" s="1698">
        <f>'F5'!M26</f>
        <v>0.1</v>
      </c>
      <c r="N119" s="1627">
        <f>'F5'!B24</f>
        <v>15</v>
      </c>
      <c r="O119" s="1473" t="str">
        <f>'F5'!C24</f>
        <v>ARR Petition Fees</v>
      </c>
      <c r="P119" s="1459">
        <f>'F5'!H24</f>
        <v>0.25</v>
      </c>
      <c r="Q119" s="1693"/>
      <c r="R119" s="36">
        <f>'F5'!J24</f>
        <v>0</v>
      </c>
      <c r="S119" s="1463">
        <f>'F5'!K24</f>
        <v>0.25</v>
      </c>
      <c r="T119" s="1567">
        <f>'F5'!L24</f>
        <v>0.25</v>
      </c>
      <c r="U119" s="1575">
        <f>'F5'!M24</f>
        <v>0.25</v>
      </c>
    </row>
    <row r="120" spans="2:25" ht="32.25" thickBot="1">
      <c r="B120" s="1696">
        <v>17</v>
      </c>
      <c r="C120" s="1699" t="s">
        <v>2547</v>
      </c>
      <c r="D120" s="1698">
        <f>'F5'!H27</f>
        <v>10</v>
      </c>
      <c r="E120" s="2402"/>
      <c r="F120" s="1698">
        <f>'F5'!J27</f>
        <v>0</v>
      </c>
      <c r="G120" s="1698">
        <f>'F5'!K27</f>
        <v>2.5676999999999999</v>
      </c>
      <c r="H120" s="1698">
        <f>'F5'!L27</f>
        <v>2.5676999999999999</v>
      </c>
      <c r="I120" s="1698">
        <f>'F5'!M27</f>
        <v>6.8472</v>
      </c>
      <c r="N120" s="1627">
        <f>'F5'!B25</f>
        <v>16</v>
      </c>
      <c r="O120" s="1473" t="str">
        <f>'F5'!C25</f>
        <v>Lease rental</v>
      </c>
      <c r="P120" s="1459">
        <f>'F5'!H25</f>
        <v>0.98</v>
      </c>
      <c r="Q120" s="1693"/>
      <c r="R120" s="36">
        <f>'F5'!J25</f>
        <v>0.63</v>
      </c>
      <c r="S120" s="1463">
        <f>'F5'!K25</f>
        <v>0.75600000000000001</v>
      </c>
      <c r="T120" s="1567">
        <f>'F5'!L25</f>
        <v>1.3860000000000001</v>
      </c>
      <c r="U120" s="1575">
        <f>'F5'!M25</f>
        <v>1.5939000000000001</v>
      </c>
      <c r="W120" s="1678" t="e">
        <f>#REF!</f>
        <v>#REF!</v>
      </c>
      <c r="Y120" s="1678" t="e">
        <f>#REF!</f>
        <v>#REF!</v>
      </c>
    </row>
    <row r="121" spans="2:25" ht="16.5" thickBot="1">
      <c r="B121" s="1696">
        <v>18</v>
      </c>
      <c r="C121" s="1699" t="s">
        <v>2705</v>
      </c>
      <c r="D121" s="1698">
        <f>'F5'!H28</f>
        <v>0</v>
      </c>
      <c r="E121" s="2402"/>
      <c r="F121" s="1698">
        <f>'F5'!J28</f>
        <v>0</v>
      </c>
      <c r="G121" s="1698">
        <f>'F5'!K28</f>
        <v>0</v>
      </c>
      <c r="H121" s="1698">
        <f>'F5'!L28</f>
        <v>0</v>
      </c>
      <c r="I121" s="1698">
        <f>'F5'!M28</f>
        <v>0</v>
      </c>
      <c r="N121" s="1627">
        <f>'F5'!B26</f>
        <v>17</v>
      </c>
      <c r="O121" s="1473" t="str">
        <f>'F5'!C26</f>
        <v>Auditor's Fees</v>
      </c>
      <c r="P121" s="1459">
        <f>'F5'!H26</f>
        <v>0.1</v>
      </c>
      <c r="Q121" s="1693"/>
      <c r="R121" s="36">
        <f>'F5'!J26</f>
        <v>0</v>
      </c>
      <c r="S121" s="1463">
        <f>'F5'!K26</f>
        <v>7.0000000000000007E-2</v>
      </c>
      <c r="T121" s="1567">
        <f>'F5'!L26</f>
        <v>7.0000000000000007E-2</v>
      </c>
      <c r="U121" s="1575">
        <f>'F5'!M26</f>
        <v>0.1</v>
      </c>
      <c r="W121" s="1700" t="e">
        <f>#REF!-#REF!</f>
        <v>#REF!</v>
      </c>
      <c r="X121" s="1701"/>
      <c r="Y121" s="1700" t="e">
        <f>#REF!-#REF!</f>
        <v>#REF!</v>
      </c>
    </row>
    <row r="122" spans="2:25" ht="16.5" thickBot="1">
      <c r="B122" s="1696">
        <v>20</v>
      </c>
      <c r="C122" s="1699" t="s">
        <v>315</v>
      </c>
      <c r="D122" s="1698">
        <f>'F5'!H33</f>
        <v>2.96</v>
      </c>
      <c r="E122" s="2402"/>
      <c r="F122" s="1698">
        <f>'F5'!J33</f>
        <v>1.58</v>
      </c>
      <c r="G122" s="1698">
        <f>'F5'!K33</f>
        <v>0</v>
      </c>
      <c r="H122" s="1698">
        <f>'F5'!L33</f>
        <v>1.58</v>
      </c>
      <c r="I122" s="1698">
        <f>'F5'!M33</f>
        <v>0</v>
      </c>
      <c r="N122" s="1627">
        <f>'F5'!B27</f>
        <v>18</v>
      </c>
      <c r="O122" s="1473" t="str">
        <f>'F5'!C27</f>
        <v>Expenses towards Security of Substations</v>
      </c>
      <c r="P122" s="1459">
        <f>'F5'!H27</f>
        <v>10</v>
      </c>
      <c r="Q122" s="1693"/>
      <c r="R122" s="36">
        <f>'F5'!J27</f>
        <v>0</v>
      </c>
      <c r="S122" s="1463">
        <f>'F5'!K27</f>
        <v>2.5676999999999999</v>
      </c>
      <c r="T122" s="1567">
        <f>'F5'!L27</f>
        <v>2.5676999999999999</v>
      </c>
      <c r="U122" s="1575">
        <f>'F5'!M27</f>
        <v>6.8472</v>
      </c>
    </row>
    <row r="123" spans="2:25" ht="16.5" thickBot="1">
      <c r="B123" s="1696">
        <v>21</v>
      </c>
      <c r="C123" s="1695" t="s">
        <v>316</v>
      </c>
      <c r="D123" s="1694">
        <f>'F5'!H35</f>
        <v>56.290399999999998</v>
      </c>
      <c r="E123" s="2402"/>
      <c r="F123" s="1694">
        <f>'F5'!J35</f>
        <v>7.4531551999999994</v>
      </c>
      <c r="G123" s="1694">
        <f>'F5'!K35</f>
        <v>17.650148941199998</v>
      </c>
      <c r="H123" s="1694">
        <f>'F5'!L35</f>
        <v>25.103304141199999</v>
      </c>
      <c r="I123" s="1694">
        <f>'F5'!M35</f>
        <v>34.724394762379994</v>
      </c>
      <c r="N123" s="1627">
        <f>'F5'!B32</f>
        <v>19</v>
      </c>
      <c r="O123" s="1577" t="str">
        <f>'F5'!C32</f>
        <v>Total expenses</v>
      </c>
      <c r="P123" s="331">
        <f>'F5'!H32</f>
        <v>59.250399999999999</v>
      </c>
      <c r="Q123" s="1693"/>
      <c r="R123" s="332">
        <f>'F5'!J32</f>
        <v>9.0331551999999995</v>
      </c>
      <c r="S123" s="332">
        <f>'F5'!K32</f>
        <v>17.650148941199998</v>
      </c>
      <c r="T123" s="1461">
        <f>'F5'!L32</f>
        <v>26.683304141199997</v>
      </c>
      <c r="U123" s="1474">
        <f>'F5'!M32</f>
        <v>34.724394762379994</v>
      </c>
    </row>
    <row r="124" spans="2:25" ht="32.25" thickBot="1">
      <c r="B124" s="1696">
        <v>23</v>
      </c>
      <c r="C124" s="1699" t="s">
        <v>159</v>
      </c>
      <c r="D124" s="1698">
        <f>'F5'!H37</f>
        <v>18.59</v>
      </c>
      <c r="E124" s="2403"/>
      <c r="F124" s="1698">
        <f>'F5'!J37</f>
        <v>0</v>
      </c>
      <c r="G124" s="1698">
        <f>'F5'!K37</f>
        <v>6.909601822757212</v>
      </c>
      <c r="H124" s="1698">
        <f>'F5'!L37</f>
        <v>6.909601822757212</v>
      </c>
      <c r="I124" s="1698">
        <f>'F5'!M37</f>
        <v>5.7821103692967055</v>
      </c>
      <c r="N124" s="1697">
        <f>'F5'!B33</f>
        <v>20</v>
      </c>
      <c r="O124" s="1473" t="str">
        <f>'F5'!C33</f>
        <v>Less capitalized</v>
      </c>
      <c r="P124" s="1459">
        <f>'F5'!H33</f>
        <v>2.96</v>
      </c>
      <c r="Q124" s="1693"/>
      <c r="R124" s="1578">
        <f>'F5'!J33</f>
        <v>1.58</v>
      </c>
      <c r="S124" s="1579">
        <f>'F5'!K33</f>
        <v>0</v>
      </c>
      <c r="T124" s="1567">
        <f>'F5'!L33</f>
        <v>1.58</v>
      </c>
      <c r="U124" s="1575">
        <f>'F5'!M33</f>
        <v>0</v>
      </c>
    </row>
    <row r="125" spans="2:25" ht="32.25" thickBot="1">
      <c r="B125" s="1696">
        <v>24</v>
      </c>
      <c r="C125" s="1695" t="s">
        <v>317</v>
      </c>
      <c r="D125" s="1694">
        <f>'F5'!H38</f>
        <v>74.880399999999995</v>
      </c>
      <c r="E125" s="1694">
        <f>'F5'!I38</f>
        <v>13.79</v>
      </c>
      <c r="F125" s="1694">
        <f>'F5'!J38</f>
        <v>7.5031551999999992</v>
      </c>
      <c r="G125" s="1694">
        <f>'F5'!K38</f>
        <v>24.559750763957211</v>
      </c>
      <c r="H125" s="1694">
        <f>'F5'!L38</f>
        <v>32.062905963957213</v>
      </c>
      <c r="I125" s="1694">
        <f>'F5'!M38</f>
        <v>40.506505131676697</v>
      </c>
      <c r="N125" s="1627">
        <f>'F5'!B35</f>
        <v>21</v>
      </c>
      <c r="O125" s="1577" t="str">
        <f>'F5'!C35</f>
        <v>Net expenses</v>
      </c>
      <c r="P125" s="331">
        <f>'F5'!H35</f>
        <v>56.290399999999998</v>
      </c>
      <c r="Q125" s="1693"/>
      <c r="R125" s="332">
        <f>'F5'!J35</f>
        <v>7.4531551999999994</v>
      </c>
      <c r="S125" s="332">
        <f>'F5'!K35</f>
        <v>17.650148941199998</v>
      </c>
      <c r="T125" s="1461">
        <f>'F5'!L35</f>
        <v>25.103304141199999</v>
      </c>
      <c r="U125" s="1461">
        <f>'F5'!M35</f>
        <v>34.724394762379994</v>
      </c>
    </row>
    <row r="126" spans="2:25" ht="15.75">
      <c r="N126" s="1627">
        <f>'F5'!B36</f>
        <v>22</v>
      </c>
      <c r="O126" s="1473" t="str">
        <f>'F5'!C36</f>
        <v>Add prior period</v>
      </c>
      <c r="P126" s="1580">
        <f>'F5'!H36</f>
        <v>0</v>
      </c>
      <c r="Q126" s="1693"/>
      <c r="R126" s="36">
        <f>'F5'!J36</f>
        <v>0.05</v>
      </c>
      <c r="S126" s="1463">
        <f>'F5'!K36</f>
        <v>0</v>
      </c>
      <c r="T126" s="1567">
        <f>'F5'!L36</f>
        <v>0.05</v>
      </c>
      <c r="U126" s="1575">
        <f>'F5'!M36</f>
        <v>0</v>
      </c>
    </row>
    <row r="127" spans="2:25" ht="15.75">
      <c r="N127" s="1627">
        <f>'F5'!B37</f>
        <v>23</v>
      </c>
      <c r="O127" s="1473" t="str">
        <f>'F5'!C37</f>
        <v>A&amp;G for Assets Addition during the year</v>
      </c>
      <c r="P127" s="1459">
        <f>'F5'!H37</f>
        <v>18.59</v>
      </c>
      <c r="Q127" s="1564"/>
      <c r="R127" s="36">
        <f>'F5'!J37</f>
        <v>0</v>
      </c>
      <c r="S127" s="1463">
        <f>'F5'!K37</f>
        <v>6.909601822757212</v>
      </c>
      <c r="T127" s="1567">
        <f>'F5'!L37</f>
        <v>6.909601822757212</v>
      </c>
      <c r="U127" s="1575">
        <f>'F5'!M37</f>
        <v>5.7821103692967055</v>
      </c>
    </row>
    <row r="128" spans="2:25" ht="16.5" thickBot="1">
      <c r="N128" s="1582">
        <f>'F5'!B38</f>
        <v>24</v>
      </c>
      <c r="O128" s="1583" t="str">
        <f>'F5'!C38</f>
        <v>Total expenses charged to revenue</v>
      </c>
      <c r="P128" s="1568">
        <f>'F5'!H38</f>
        <v>74.880399999999995</v>
      </c>
      <c r="Q128" s="1460">
        <f>'F5'!I38</f>
        <v>13.79</v>
      </c>
      <c r="R128" s="1460">
        <f>'F5'!J38</f>
        <v>7.5031551999999992</v>
      </c>
      <c r="S128" s="1460">
        <f>'F5'!K38</f>
        <v>24.559750763957211</v>
      </c>
      <c r="T128" s="1462">
        <f>'F5'!L38</f>
        <v>32.062905963957213</v>
      </c>
      <c r="U128" s="1462">
        <f>'F5'!M38</f>
        <v>40.506505131676697</v>
      </c>
    </row>
    <row r="129" spans="1:8" ht="16.5" thickBot="1">
      <c r="B129" s="2382" t="s">
        <v>1003</v>
      </c>
      <c r="C129" s="2382" t="s">
        <v>331</v>
      </c>
      <c r="D129" s="2384" t="s">
        <v>1752</v>
      </c>
      <c r="E129" s="2385"/>
      <c r="F129" s="2385"/>
      <c r="G129" s="2386"/>
      <c r="H129" s="1665" t="s">
        <v>2590</v>
      </c>
    </row>
    <row r="130" spans="1:8" ht="15.75">
      <c r="B130" s="2407"/>
      <c r="C130" s="2407"/>
      <c r="D130" s="2382" t="s">
        <v>1036</v>
      </c>
      <c r="E130" s="2382" t="s">
        <v>1943</v>
      </c>
      <c r="F130" s="2382" t="s">
        <v>1944</v>
      </c>
      <c r="G130" s="1692" t="s">
        <v>287</v>
      </c>
      <c r="H130" s="2382" t="s">
        <v>1040</v>
      </c>
    </row>
    <row r="131" spans="1:8" ht="16.5" thickBot="1">
      <c r="B131" s="2383"/>
      <c r="C131" s="2383"/>
      <c r="D131" s="2383"/>
      <c r="E131" s="2383"/>
      <c r="F131" s="2383"/>
      <c r="G131" s="1664" t="s">
        <v>2704</v>
      </c>
      <c r="H131" s="2383"/>
    </row>
    <row r="132" spans="1:8" ht="16.5" thickBot="1">
      <c r="B132" s="1663">
        <v>1</v>
      </c>
      <c r="C132" s="1662" t="s">
        <v>2703</v>
      </c>
      <c r="D132" s="1661">
        <f>'F1'!I42</f>
        <v>211.12</v>
      </c>
      <c r="E132" s="1656">
        <f>'F1'!J42</f>
        <v>99.146384299999966</v>
      </c>
      <c r="F132" s="1656">
        <f>'F1'!K42</f>
        <v>133.34793001215803</v>
      </c>
      <c r="G132" s="1656">
        <f>'F1'!L42</f>
        <v>232.49431431215805</v>
      </c>
      <c r="H132" s="1656">
        <f>'F1'!M42</f>
        <v>273.21733934422042</v>
      </c>
    </row>
    <row r="133" spans="1:8" ht="16.5" thickBot="1">
      <c r="B133" s="1663">
        <v>2</v>
      </c>
      <c r="C133" s="1662" t="s">
        <v>2702</v>
      </c>
      <c r="D133" s="1661">
        <f>'F4'!I27</f>
        <v>68.89</v>
      </c>
      <c r="E133" s="1656">
        <f>'F4'!J27</f>
        <v>10.188670199999999</v>
      </c>
      <c r="F133" s="1656">
        <f>'F4'!K27</f>
        <v>59.195807354806057</v>
      </c>
      <c r="G133" s="1656">
        <f>'F4'!L27</f>
        <v>69.384477554806054</v>
      </c>
      <c r="H133" s="1656">
        <f>'F4'!M27</f>
        <v>70.033482790164854</v>
      </c>
    </row>
    <row r="134" spans="1:8" ht="16.5" thickBot="1">
      <c r="B134" s="1663">
        <v>3</v>
      </c>
      <c r="C134" s="1662" t="s">
        <v>1953</v>
      </c>
      <c r="D134" s="1661">
        <f>'F5'!I38</f>
        <v>13.79</v>
      </c>
      <c r="E134" s="1656">
        <f>'F5'!J38</f>
        <v>7.5031551999999992</v>
      </c>
      <c r="F134" s="1656">
        <f>'F5'!K38</f>
        <v>24.559750763957211</v>
      </c>
      <c r="G134" s="1656">
        <f>'F5'!L38</f>
        <v>32.062905963957213</v>
      </c>
      <c r="H134" s="1656">
        <f>'F5'!M38</f>
        <v>40.506505131676697</v>
      </c>
    </row>
    <row r="135" spans="1:8" ht="16.5" thickBot="1">
      <c r="B135" s="1691">
        <v>4</v>
      </c>
      <c r="C135" s="1683" t="s">
        <v>287</v>
      </c>
      <c r="D135" s="1682">
        <f>SUM(D132:D134)</f>
        <v>293.8</v>
      </c>
      <c r="E135" s="1682">
        <f>SUM(E132:E134)</f>
        <v>116.83820969999996</v>
      </c>
      <c r="F135" s="1682">
        <f>SUM(F132:F134)</f>
        <v>217.10348813092128</v>
      </c>
      <c r="G135" s="1682">
        <f>SUM(G132:G134)</f>
        <v>333.94169783092133</v>
      </c>
      <c r="H135" s="1682">
        <f>SUM(H132:H134)</f>
        <v>383.75732726606196</v>
      </c>
    </row>
    <row r="137" spans="1:8" ht="15.75" thickBot="1"/>
    <row r="138" spans="1:8" ht="16.5" thickBot="1">
      <c r="A138" s="1660"/>
      <c r="B138" s="1690" t="s">
        <v>1003</v>
      </c>
      <c r="C138" s="1689" t="s">
        <v>331</v>
      </c>
      <c r="D138" s="1688" t="s">
        <v>1752</v>
      </c>
      <c r="E138" s="1688" t="s">
        <v>2590</v>
      </c>
    </row>
    <row r="139" spans="1:8" ht="16.5" thickBot="1">
      <c r="A139" s="1660"/>
      <c r="B139" s="1686">
        <v>1</v>
      </c>
      <c r="C139" s="1662" t="s">
        <v>91</v>
      </c>
      <c r="D139" s="1837">
        <f>'Control Sheet'!E3</f>
        <v>1069.694815668485</v>
      </c>
      <c r="E139" s="1837">
        <f>'Control Sheet'!F3</f>
        <v>990.18327759898466</v>
      </c>
      <c r="G139" s="1652" t="s">
        <v>2701</v>
      </c>
    </row>
    <row r="140" spans="1:8" ht="16.5" thickBot="1">
      <c r="A140" s="1660"/>
      <c r="B140" s="1686">
        <v>2</v>
      </c>
      <c r="C140" s="1662" t="s">
        <v>1750</v>
      </c>
      <c r="D140" s="1837">
        <f>'Control Sheet'!E4</f>
        <v>1541.9595824335906</v>
      </c>
      <c r="E140" s="1837">
        <f>'Control Sheet'!F4</f>
        <v>1446.3469219483711</v>
      </c>
    </row>
    <row r="142" spans="1:8" ht="15.75" thickBot="1"/>
    <row r="143" spans="1:8" ht="16.5" thickBot="1">
      <c r="A143" s="1660"/>
      <c r="B143" s="1685" t="s">
        <v>1003</v>
      </c>
      <c r="C143" s="1665" t="s">
        <v>331</v>
      </c>
      <c r="D143" s="1665" t="s">
        <v>1752</v>
      </c>
      <c r="E143" s="1665" t="s">
        <v>2590</v>
      </c>
    </row>
    <row r="144" spans="1:8" ht="16.5" thickBot="1">
      <c r="A144" s="1660"/>
      <c r="B144" s="1681">
        <v>1</v>
      </c>
      <c r="C144" s="1683" t="s">
        <v>2700</v>
      </c>
      <c r="D144" s="1670">
        <f>D139</f>
        <v>1069.694815668485</v>
      </c>
      <c r="E144" s="1670">
        <f>E139</f>
        <v>990.18327759898466</v>
      </c>
    </row>
    <row r="145" spans="1:6" ht="16.5" thickBot="1">
      <c r="A145" s="1660"/>
      <c r="B145" s="1681">
        <v>2</v>
      </c>
      <c r="C145" s="1683" t="s">
        <v>1027</v>
      </c>
      <c r="D145" s="1670">
        <f>'F14'!L12</f>
        <v>9.56</v>
      </c>
      <c r="E145" s="1670">
        <f>'F14'!M12</f>
        <v>8.6</v>
      </c>
    </row>
    <row r="146" spans="1:6" ht="16.5" thickBot="1">
      <c r="A146" s="1660"/>
      <c r="B146" s="1681">
        <v>3</v>
      </c>
      <c r="C146" s="1683" t="s">
        <v>1394</v>
      </c>
      <c r="D146" s="1670">
        <f>'F15'!L12</f>
        <v>0</v>
      </c>
      <c r="E146" s="1670">
        <f>'F15'!M12</f>
        <v>0</v>
      </c>
    </row>
    <row r="147" spans="1:6" ht="16.5" thickBot="1">
      <c r="A147" s="1660"/>
      <c r="B147" s="1681">
        <v>4</v>
      </c>
      <c r="C147" s="1662" t="s">
        <v>1393</v>
      </c>
      <c r="D147" s="1673">
        <f>'F21'!G25</f>
        <v>1060.1348156684851</v>
      </c>
      <c r="E147" s="1673">
        <f>'F21'!H25</f>
        <v>981.58327759898464</v>
      </c>
    </row>
    <row r="148" spans="1:6" ht="15.75" thickBot="1"/>
    <row r="149" spans="1:6" ht="16.5" thickBot="1">
      <c r="B149" s="2382" t="s">
        <v>349</v>
      </c>
      <c r="C149" s="2382" t="s">
        <v>331</v>
      </c>
      <c r="D149" s="2382" t="s">
        <v>2699</v>
      </c>
      <c r="E149" s="1667" t="s">
        <v>1752</v>
      </c>
      <c r="F149" s="1667" t="s">
        <v>2590</v>
      </c>
    </row>
    <row r="150" spans="1:6" ht="16.5" thickBot="1">
      <c r="B150" s="2383"/>
      <c r="C150" s="2383"/>
      <c r="D150" s="2383"/>
      <c r="E150" s="1664" t="s">
        <v>2508</v>
      </c>
      <c r="F150" s="1659" t="s">
        <v>1040</v>
      </c>
    </row>
    <row r="151" spans="1:6" ht="16.5" thickBot="1">
      <c r="B151" s="1684">
        <v>1</v>
      </c>
      <c r="C151" s="1683" t="s">
        <v>384</v>
      </c>
      <c r="D151" s="1683" t="s">
        <v>2698</v>
      </c>
      <c r="E151" s="1682">
        <f>'F9'!$L$51</f>
        <v>188.60317297624681</v>
      </c>
      <c r="F151" s="1682">
        <f>'F9'!M51</f>
        <v>267.4944646919306</v>
      </c>
    </row>
    <row r="152" spans="1:6" ht="16.5" thickBot="1">
      <c r="B152" s="1681">
        <v>2</v>
      </c>
      <c r="C152" s="1662" t="s">
        <v>158</v>
      </c>
      <c r="D152" s="1662" t="s">
        <v>337</v>
      </c>
      <c r="E152" s="1661">
        <f>'F9'!$L$52</f>
        <v>2801.05</v>
      </c>
      <c r="F152" s="1661">
        <f>'F9'!M52</f>
        <v>4343.0095824335913</v>
      </c>
    </row>
    <row r="153" spans="1:6" ht="16.5" thickBot="1">
      <c r="B153" s="1681">
        <v>3</v>
      </c>
      <c r="C153" s="1680" t="s">
        <v>1232</v>
      </c>
      <c r="D153" s="1680" t="s">
        <v>339</v>
      </c>
      <c r="E153" s="1661">
        <f>'F9'!L53</f>
        <v>1541.9595824335906</v>
      </c>
      <c r="F153" s="1661">
        <f>'F9'!M53</f>
        <v>1446.3469219483711</v>
      </c>
    </row>
    <row r="154" spans="1:6" ht="16.5" thickBot="1">
      <c r="B154" s="1681">
        <v>4</v>
      </c>
      <c r="C154" s="1680" t="s">
        <v>1221</v>
      </c>
      <c r="D154" s="1680" t="s">
        <v>2697</v>
      </c>
      <c r="E154" s="1661">
        <f>'F9'!L55</f>
        <v>4343.0095824335913</v>
      </c>
      <c r="F154" s="1661">
        <f>'F9'!M55</f>
        <v>5789.3565043819626</v>
      </c>
    </row>
    <row r="155" spans="1:6" ht="32.25" thickBot="1">
      <c r="B155" s="1681">
        <v>5</v>
      </c>
      <c r="C155" s="1680" t="s">
        <v>1233</v>
      </c>
      <c r="D155" s="1680" t="s">
        <v>2696</v>
      </c>
      <c r="E155" s="1679">
        <f>'F9'!L56</f>
        <v>5.8106605838239213E-2</v>
      </c>
      <c r="F155" s="1679">
        <f>'F9'!M56</f>
        <v>6.1591958206557988E-2</v>
      </c>
    </row>
    <row r="156" spans="1:6" ht="15.75" thickBot="1">
      <c r="D156" s="1678"/>
      <c r="E156" s="1678"/>
    </row>
    <row r="157" spans="1:6" ht="16.5" thickBot="1">
      <c r="B157" s="2371" t="s">
        <v>349</v>
      </c>
      <c r="C157" s="2371" t="s">
        <v>331</v>
      </c>
      <c r="D157" s="2373" t="s">
        <v>1752</v>
      </c>
      <c r="E157" s="2375"/>
      <c r="F157" s="1677" t="s">
        <v>2590</v>
      </c>
    </row>
    <row r="158" spans="1:6" ht="16.5" thickBot="1">
      <c r="B158" s="2372"/>
      <c r="C158" s="2372"/>
      <c r="D158" s="1676" t="s">
        <v>1036</v>
      </c>
      <c r="E158" s="1676" t="s">
        <v>2508</v>
      </c>
      <c r="F158" s="1676" t="s">
        <v>1040</v>
      </c>
    </row>
    <row r="159" spans="1:6" ht="16.5" thickBot="1">
      <c r="B159" s="1655">
        <v>1</v>
      </c>
      <c r="C159" s="1675" t="s">
        <v>408</v>
      </c>
      <c r="D159" s="1673">
        <f>'F21'!F24</f>
        <v>1716.05</v>
      </c>
      <c r="E159" s="1673">
        <f>'F21'!G24</f>
        <v>1623.2292907000001</v>
      </c>
      <c r="F159" s="1673">
        <f>'F21'!H24</f>
        <v>2537.6669520684854</v>
      </c>
    </row>
    <row r="160" spans="1:6" ht="16.5" thickBot="1">
      <c r="B160" s="1655">
        <v>2</v>
      </c>
      <c r="C160" s="1675" t="s">
        <v>2233</v>
      </c>
      <c r="D160" s="1673">
        <f>'F21'!F25</f>
        <v>1100</v>
      </c>
      <c r="E160" s="1673">
        <f>'F21'!G25</f>
        <v>1060.1348156684851</v>
      </c>
      <c r="F160" s="1673">
        <f>'F21'!H25</f>
        <v>981.58327759898464</v>
      </c>
    </row>
    <row r="161" spans="2:6" ht="16.5" thickBot="1">
      <c r="B161" s="1655">
        <v>3</v>
      </c>
      <c r="C161" s="1657" t="s">
        <v>2234</v>
      </c>
      <c r="D161" s="1673">
        <f>'F21'!F26</f>
        <v>127.69</v>
      </c>
      <c r="E161" s="1673">
        <f>'F21'!G26</f>
        <v>145.69715429999999</v>
      </c>
      <c r="F161" s="1673">
        <f>'F21'!H26</f>
        <v>150.03738659999999</v>
      </c>
    </row>
    <row r="162" spans="2:6" ht="16.5" thickBot="1">
      <c r="B162" s="1655">
        <v>4</v>
      </c>
      <c r="C162" s="1675" t="s">
        <v>142</v>
      </c>
      <c r="D162" s="1673">
        <f>'F21'!F27</f>
        <v>2688.36</v>
      </c>
      <c r="E162" s="1673">
        <f>'F21'!G27</f>
        <v>2537.6669520684854</v>
      </c>
      <c r="F162" s="1673">
        <f>'F21'!H27</f>
        <v>3369.2128430674702</v>
      </c>
    </row>
    <row r="163" spans="2:6" ht="16.5" thickBot="1">
      <c r="B163" s="1655">
        <v>5</v>
      </c>
      <c r="C163" s="1675" t="s">
        <v>2695</v>
      </c>
      <c r="D163" s="1673">
        <f>'F21'!F28</f>
        <v>279.22999999999996</v>
      </c>
      <c r="E163" s="1673">
        <f>'F21'!G28</f>
        <v>241.363488430855</v>
      </c>
      <c r="F163" s="1673">
        <f>'F21'!H28</f>
        <v>364.84157286474721</v>
      </c>
    </row>
    <row r="164" spans="2:6" ht="16.5" thickBot="1">
      <c r="B164" s="1655">
        <v>6</v>
      </c>
      <c r="C164" s="1675" t="s">
        <v>2694</v>
      </c>
      <c r="D164" s="1673">
        <f>'F21'!F29</f>
        <v>9.99</v>
      </c>
      <c r="E164" s="1673">
        <f>'F21'!G29</f>
        <v>40</v>
      </c>
      <c r="F164" s="1673">
        <f>'F21'!H29</f>
        <v>10</v>
      </c>
    </row>
    <row r="165" spans="2:6" ht="32.25" thickBot="1">
      <c r="B165" s="1655">
        <v>7</v>
      </c>
      <c r="C165" s="1657" t="s">
        <v>1413</v>
      </c>
      <c r="D165" s="1673">
        <f>'F21'!F30</f>
        <v>24.39</v>
      </c>
      <c r="E165" s="1673">
        <f>'F21'!G30</f>
        <v>0</v>
      </c>
      <c r="F165" s="1673">
        <f>'F21'!H30</f>
        <v>0</v>
      </c>
    </row>
    <row r="166" spans="2:6" ht="16.5" thickBot="1">
      <c r="B166" s="1658">
        <v>8</v>
      </c>
      <c r="C166" s="1672" t="s">
        <v>197</v>
      </c>
      <c r="D166" s="1670">
        <f>'F21'!F31</f>
        <v>244.84999999999997</v>
      </c>
      <c r="E166" s="1670">
        <f>'F21'!G31</f>
        <v>201.363488430855</v>
      </c>
      <c r="F166" s="1670">
        <f>'F21'!H31</f>
        <v>354.84157286474721</v>
      </c>
    </row>
    <row r="167" spans="2:6" ht="16.5" thickBot="1">
      <c r="B167" s="1658">
        <v>9</v>
      </c>
      <c r="C167" s="1672" t="s">
        <v>2236</v>
      </c>
      <c r="D167" s="1674">
        <f>'F21'!F32</f>
        <v>0.12679564345735295</v>
      </c>
      <c r="E167" s="1674">
        <f>'F21'!G32</f>
        <v>0.125</v>
      </c>
      <c r="F167" s="1674">
        <f>'F21'!H32</f>
        <v>0.125</v>
      </c>
    </row>
    <row r="168" spans="2:6" ht="16.5" thickBot="1">
      <c r="B168" s="1658">
        <v>10</v>
      </c>
      <c r="C168" s="1672" t="s">
        <v>2693</v>
      </c>
      <c r="D168" s="1673"/>
      <c r="E168" s="1673">
        <f>'F21'!G33</f>
        <v>4</v>
      </c>
      <c r="F168" s="1673">
        <f>'F21'!H33</f>
        <v>4</v>
      </c>
    </row>
    <row r="169" spans="2:6" ht="16.5" thickBot="1">
      <c r="B169" s="1658">
        <v>11</v>
      </c>
      <c r="C169" s="1672" t="s">
        <v>1028</v>
      </c>
      <c r="D169" s="1671">
        <f>'F21'!F34</f>
        <v>244.84999999999997</v>
      </c>
      <c r="E169" s="1670">
        <f>'F21'!G34</f>
        <v>205.363488430855</v>
      </c>
      <c r="F169" s="1653">
        <f>'F21'!H34</f>
        <v>358.84157286474721</v>
      </c>
    </row>
    <row r="170" spans="2:6" ht="15.75" thickBot="1"/>
    <row r="171" spans="2:6" ht="32.25" thickBot="1">
      <c r="B171" s="2382" t="s">
        <v>1003</v>
      </c>
      <c r="C171" s="2382" t="s">
        <v>331</v>
      </c>
      <c r="D171" s="2384" t="s">
        <v>2591</v>
      </c>
      <c r="E171" s="2386"/>
      <c r="F171" s="1667" t="s">
        <v>2592</v>
      </c>
    </row>
    <row r="172" spans="2:6" ht="16.5" thickBot="1">
      <c r="B172" s="2383"/>
      <c r="C172" s="2383"/>
      <c r="D172" s="1664" t="s">
        <v>1036</v>
      </c>
      <c r="E172" s="1664" t="s">
        <v>1040</v>
      </c>
      <c r="F172" s="1659" t="s">
        <v>1040</v>
      </c>
    </row>
    <row r="173" spans="2:6" ht="16.5" thickBot="1">
      <c r="B173" s="1655">
        <v>1</v>
      </c>
      <c r="C173" s="1669" t="s">
        <v>1444</v>
      </c>
      <c r="D173" s="1656">
        <f>'F16'!I10</f>
        <v>328.5</v>
      </c>
      <c r="E173" s="1656">
        <f>'F16'!L10</f>
        <v>328.5</v>
      </c>
      <c r="F173" s="1656">
        <f>'F16'!M10</f>
        <v>328.5</v>
      </c>
    </row>
    <row r="174" spans="2:6" ht="32.25" thickBot="1">
      <c r="B174" s="1655">
        <v>2</v>
      </c>
      <c r="C174" s="1669" t="s">
        <v>2436</v>
      </c>
      <c r="D174" s="1656">
        <f>'F16'!I11</f>
        <v>0</v>
      </c>
      <c r="E174" s="1656">
        <f>'F16'!L11</f>
        <v>0</v>
      </c>
      <c r="F174" s="1656">
        <f>'F16'!M11</f>
        <v>0</v>
      </c>
    </row>
    <row r="175" spans="2:6" ht="16.5" thickBot="1">
      <c r="B175" s="1655">
        <v>3</v>
      </c>
      <c r="C175" s="1669" t="s">
        <v>2068</v>
      </c>
      <c r="D175" s="1656">
        <f>'F16'!I12</f>
        <v>0</v>
      </c>
      <c r="E175" s="1656">
        <f>'F16'!L12</f>
        <v>328.5</v>
      </c>
      <c r="F175" s="1656">
        <f>'F16'!M12</f>
        <v>328.5</v>
      </c>
    </row>
    <row r="176" spans="2:6" ht="16.5" thickBot="1">
      <c r="B176" s="1655">
        <v>4</v>
      </c>
      <c r="C176" s="1668" t="s">
        <v>421</v>
      </c>
      <c r="D176" s="1656">
        <f>'F16'!I13</f>
        <v>50.917499999999997</v>
      </c>
      <c r="E176" s="1656">
        <f>'F16'!L13</f>
        <v>75.377498149518871</v>
      </c>
      <c r="F176" s="1656">
        <f>'F16'!M13</f>
        <v>75.377498149518871</v>
      </c>
    </row>
    <row r="177" spans="1:8" ht="16.5" thickBot="1">
      <c r="B177" s="1655">
        <v>5</v>
      </c>
      <c r="C177" s="1668" t="s">
        <v>424</v>
      </c>
      <c r="D177" s="1666">
        <f>'F16'!I14</f>
        <v>0.155</v>
      </c>
      <c r="E177" s="1666">
        <f>'F16'!L14</f>
        <v>0.22945965951147299</v>
      </c>
      <c r="F177" s="1666">
        <f>'F16'!M14</f>
        <v>0.22945965951147299</v>
      </c>
    </row>
    <row r="178" spans="1:8" ht="15.75" thickBot="1"/>
    <row r="179" spans="1:8" ht="16.5" thickBot="1">
      <c r="B179" s="2382" t="s">
        <v>349</v>
      </c>
      <c r="C179" s="2382" t="s">
        <v>331</v>
      </c>
      <c r="D179" s="2384" t="s">
        <v>1752</v>
      </c>
      <c r="E179" s="2386"/>
      <c r="F179" s="1667" t="s">
        <v>2590</v>
      </c>
    </row>
    <row r="180" spans="1:8" ht="16.5" thickBot="1">
      <c r="B180" s="2383"/>
      <c r="C180" s="2383"/>
      <c r="D180" s="1664" t="s">
        <v>1036</v>
      </c>
      <c r="E180" s="1664" t="s">
        <v>1040</v>
      </c>
      <c r="F180" s="1659" t="s">
        <v>1040</v>
      </c>
    </row>
    <row r="181" spans="1:8" ht="32.25" thickBot="1">
      <c r="B181" s="1655">
        <v>1</v>
      </c>
      <c r="C181" s="1657" t="s">
        <v>145</v>
      </c>
      <c r="D181" s="1656">
        <f>'F20 R'!I12</f>
        <v>124.93</v>
      </c>
      <c r="E181" s="1656">
        <f>'F20 R'!L12</f>
        <v>133.54499999999999</v>
      </c>
      <c r="F181" s="1656">
        <f ca="1">'F20 R'!N12</f>
        <v>201.23486366339489</v>
      </c>
    </row>
    <row r="182" spans="1:8" ht="48" thickBot="1">
      <c r="B182" s="1655">
        <v>2</v>
      </c>
      <c r="C182" s="1657" t="s">
        <v>146</v>
      </c>
      <c r="D182" s="1656">
        <f>'F20 R'!I13</f>
        <v>44.07</v>
      </c>
      <c r="E182" s="1656">
        <f>'F20 R'!L13</f>
        <v>50.091254674638201</v>
      </c>
      <c r="F182" s="1656">
        <f>'F20 R'!N13</f>
        <v>57.563599089909289</v>
      </c>
    </row>
    <row r="183" spans="1:8" ht="32.25" thickBot="1">
      <c r="B183" s="1655">
        <v>3</v>
      </c>
      <c r="C183" s="1657" t="s">
        <v>147</v>
      </c>
      <c r="D183" s="1656">
        <f>'F20 R'!I14</f>
        <v>24.48</v>
      </c>
      <c r="E183" s="1656">
        <f>'F20 R'!L14</f>
        <v>27.828474819243443</v>
      </c>
      <c r="F183" s="1656">
        <f>'F20 R'!N14</f>
        <v>31.97977727217183</v>
      </c>
    </row>
    <row r="184" spans="1:8" ht="16.5" thickBot="1">
      <c r="B184" s="1655">
        <v>4</v>
      </c>
      <c r="C184" s="1657" t="s">
        <v>2692</v>
      </c>
      <c r="D184" s="1656">
        <f>'F20 R'!I15</f>
        <v>193.48</v>
      </c>
      <c r="E184" s="1656">
        <f>'F20 R'!L15</f>
        <v>211.46472949388163</v>
      </c>
      <c r="F184" s="1656">
        <f ca="1">'F20 R'!N15</f>
        <v>290.77824002547601</v>
      </c>
    </row>
    <row r="185" spans="1:8" ht="16.5" thickBot="1">
      <c r="B185" s="1655">
        <v>5</v>
      </c>
      <c r="C185" s="1657" t="s">
        <v>1326</v>
      </c>
      <c r="D185" s="1666">
        <f>'F20 R'!I18</f>
        <v>0.13</v>
      </c>
      <c r="E185" s="1666">
        <f>'F20 R'!L18</f>
        <v>0.14749999999999999</v>
      </c>
      <c r="F185" s="1666">
        <f>'F20 R'!N18</f>
        <v>0.14749999999999999</v>
      </c>
    </row>
    <row r="186" spans="1:8" ht="16.5" thickBot="1">
      <c r="B186" s="1658">
        <v>6</v>
      </c>
      <c r="C186" s="1654" t="s">
        <v>340</v>
      </c>
      <c r="D186" s="1653">
        <f>'F20 R'!I19</f>
        <v>25.1524</v>
      </c>
      <c r="E186" s="1653">
        <f>'F20 R'!L19</f>
        <v>31.191047600347538</v>
      </c>
      <c r="F186" s="1653">
        <f ca="1">'F20 R'!N19</f>
        <v>42.889790403757708</v>
      </c>
    </row>
    <row r="187" spans="1:8" ht="15.75" thickBot="1"/>
    <row r="188" spans="1:8" ht="16.5" thickBot="1">
      <c r="B188" s="2382" t="s">
        <v>1003</v>
      </c>
      <c r="C188" s="2382" t="s">
        <v>331</v>
      </c>
      <c r="D188" s="2384" t="s">
        <v>1752</v>
      </c>
      <c r="E188" s="2385"/>
      <c r="F188" s="2385"/>
      <c r="G188" s="2386"/>
      <c r="H188" s="1665" t="s">
        <v>2590</v>
      </c>
    </row>
    <row r="189" spans="1:8" ht="16.5" thickBot="1">
      <c r="B189" s="2383"/>
      <c r="C189" s="2383"/>
      <c r="D189" s="1664" t="s">
        <v>1036</v>
      </c>
      <c r="E189" s="1664" t="s">
        <v>2691</v>
      </c>
      <c r="F189" s="1664" t="s">
        <v>2534</v>
      </c>
      <c r="G189" s="1664" t="s">
        <v>287</v>
      </c>
      <c r="H189" s="1664" t="s">
        <v>1040</v>
      </c>
    </row>
    <row r="190" spans="1:8" ht="16.5" thickBot="1">
      <c r="A190" s="1660"/>
      <c r="B190" s="1663">
        <v>1</v>
      </c>
      <c r="C190" s="1662" t="s">
        <v>2255</v>
      </c>
      <c r="D190" s="1661">
        <f>'F12 '!I29</f>
        <v>13.05</v>
      </c>
      <c r="E190" s="1661">
        <f>'F12 '!J29</f>
        <v>4.5537597000000005</v>
      </c>
      <c r="F190" s="1661">
        <f>'F12 '!K29</f>
        <v>1.2093718999999998</v>
      </c>
      <c r="G190" s="1661">
        <f>'F12 '!L29</f>
        <v>5.7631316000000004</v>
      </c>
      <c r="H190" s="1661">
        <f>'F12 '!M29</f>
        <v>2.6587437999999999</v>
      </c>
    </row>
    <row r="192" spans="1:8" ht="15.75" thickBot="1"/>
    <row r="193" spans="1:7" ht="16.5" thickBot="1">
      <c r="A193" s="1660"/>
      <c r="B193" s="2408" t="s">
        <v>1003</v>
      </c>
      <c r="C193" s="2411" t="s">
        <v>282</v>
      </c>
      <c r="D193" s="2414" t="s">
        <v>2539</v>
      </c>
      <c r="E193" s="2415"/>
      <c r="F193" s="2415"/>
      <c r="G193" s="2416"/>
    </row>
    <row r="194" spans="1:7" ht="16.5" thickBot="1">
      <c r="B194" s="2409"/>
      <c r="C194" s="2412"/>
      <c r="D194" s="2414" t="s">
        <v>1752</v>
      </c>
      <c r="E194" s="2415"/>
      <c r="F194" s="2417"/>
      <c r="G194" s="1659" t="s">
        <v>2590</v>
      </c>
    </row>
    <row r="195" spans="1:7" ht="32.25" thickBot="1">
      <c r="B195" s="2410"/>
      <c r="C195" s="2413"/>
      <c r="D195" s="1659" t="s">
        <v>1035</v>
      </c>
      <c r="E195" s="1659" t="s">
        <v>1036</v>
      </c>
      <c r="F195" s="1659" t="s">
        <v>2508</v>
      </c>
      <c r="G195" s="1659" t="s">
        <v>1040</v>
      </c>
    </row>
    <row r="196" spans="1:7" ht="16.5" thickBot="1">
      <c r="B196" s="1655">
        <v>1</v>
      </c>
      <c r="C196" s="1657" t="s">
        <v>338</v>
      </c>
      <c r="D196" s="1656" t="e">
        <f>#REF!</f>
        <v>#REF!</v>
      </c>
      <c r="E196" s="1656" t="e">
        <f>#REF!</f>
        <v>#REF!</v>
      </c>
      <c r="F196" s="1656" t="e">
        <f>#REF!</f>
        <v>#REF!</v>
      </c>
      <c r="G196" s="1656" t="e">
        <f>#REF!</f>
        <v>#REF!</v>
      </c>
    </row>
    <row r="197" spans="1:7" ht="16.5" thickBot="1">
      <c r="B197" s="1655">
        <v>2</v>
      </c>
      <c r="C197" s="1657" t="s">
        <v>390</v>
      </c>
      <c r="D197" s="1656" t="e">
        <f>#REF!</f>
        <v>#REF!</v>
      </c>
      <c r="E197" s="1656" t="e">
        <f>#REF!</f>
        <v>#REF!</v>
      </c>
      <c r="F197" s="1656" t="e">
        <f>#REF!</f>
        <v>#REF!</v>
      </c>
      <c r="G197" s="1656" t="e">
        <f>#REF!</f>
        <v>#REF!</v>
      </c>
    </row>
    <row r="198" spans="1:7" ht="16.5" thickBot="1">
      <c r="B198" s="1655">
        <v>3</v>
      </c>
      <c r="C198" s="1657" t="s">
        <v>2548</v>
      </c>
      <c r="D198" s="1656" t="e">
        <f>#REF!</f>
        <v>#REF!</v>
      </c>
      <c r="E198" s="1656" t="e">
        <f>#REF!</f>
        <v>#REF!</v>
      </c>
      <c r="F198" s="1656" t="e">
        <f>#REF!</f>
        <v>#REF!</v>
      </c>
      <c r="G198" s="1656" t="e">
        <f>#REF!</f>
        <v>#REF!</v>
      </c>
    </row>
    <row r="199" spans="1:7" ht="16.5" thickBot="1">
      <c r="B199" s="1655">
        <v>4</v>
      </c>
      <c r="C199" s="1657" t="s">
        <v>384</v>
      </c>
      <c r="D199" s="1656" t="e">
        <f>#REF!</f>
        <v>#REF!</v>
      </c>
      <c r="E199" s="1656" t="e">
        <f>#REF!</f>
        <v>#REF!</v>
      </c>
      <c r="F199" s="1656" t="e">
        <f>#REF!</f>
        <v>#REF!</v>
      </c>
      <c r="G199" s="1656" t="e">
        <f>#REF!</f>
        <v>#REF!</v>
      </c>
    </row>
    <row r="200" spans="1:7" ht="16.5" thickBot="1">
      <c r="B200" s="1655">
        <v>5</v>
      </c>
      <c r="C200" s="1657" t="s">
        <v>385</v>
      </c>
      <c r="D200" s="1656" t="e">
        <f>#REF!</f>
        <v>#REF!</v>
      </c>
      <c r="E200" s="1656" t="e">
        <f>#REF!</f>
        <v>#REF!</v>
      </c>
      <c r="F200" s="1656" t="e">
        <f>#REF!</f>
        <v>#REF!</v>
      </c>
      <c r="G200" s="1656" t="e">
        <f>#REF!</f>
        <v>#REF!</v>
      </c>
    </row>
    <row r="201" spans="1:7" ht="16.5" thickBot="1">
      <c r="B201" s="1655">
        <v>6</v>
      </c>
      <c r="C201" s="1657" t="s">
        <v>340</v>
      </c>
      <c r="D201" s="1656" t="e">
        <f>#REF!</f>
        <v>#REF!</v>
      </c>
      <c r="E201" s="1656" t="e">
        <f>#REF!</f>
        <v>#REF!</v>
      </c>
      <c r="F201" s="1656" t="e">
        <f>#REF!</f>
        <v>#REF!</v>
      </c>
      <c r="G201" s="1656" t="e">
        <f>#REF!</f>
        <v>#REF!</v>
      </c>
    </row>
    <row r="202" spans="1:7" ht="16.5" thickBot="1">
      <c r="B202" s="1655">
        <v>7</v>
      </c>
      <c r="C202" s="1657" t="s">
        <v>2530</v>
      </c>
      <c r="D202" s="1656" t="e">
        <f>#REF!</f>
        <v>#REF!</v>
      </c>
      <c r="E202" s="1656" t="e">
        <f>#REF!</f>
        <v>#REF!</v>
      </c>
      <c r="F202" s="1656" t="e">
        <f>#REF!</f>
        <v>#REF!</v>
      </c>
      <c r="G202" s="1656" t="e">
        <f>#REF!</f>
        <v>#REF!</v>
      </c>
    </row>
    <row r="203" spans="1:7" ht="32.25" thickBot="1">
      <c r="B203" s="1655">
        <v>8</v>
      </c>
      <c r="C203" s="1657" t="s">
        <v>2545</v>
      </c>
      <c r="D203" s="1656" t="e">
        <f>#REF!</f>
        <v>#REF!</v>
      </c>
      <c r="E203" s="1656" t="e">
        <f>#REF!</f>
        <v>#REF!</v>
      </c>
      <c r="F203" s="1656" t="e">
        <f>#REF!</f>
        <v>#REF!</v>
      </c>
      <c r="G203" s="1656" t="e">
        <f>#REF!</f>
        <v>#REF!</v>
      </c>
    </row>
    <row r="204" spans="1:7" ht="16.5" thickBot="1">
      <c r="B204" s="1658">
        <v>9</v>
      </c>
      <c r="C204" s="1657" t="s">
        <v>391</v>
      </c>
      <c r="D204" s="1656" t="e">
        <f>#REF!</f>
        <v>#REF!</v>
      </c>
      <c r="E204" s="1656" t="e">
        <f>#REF!</f>
        <v>#REF!</v>
      </c>
      <c r="F204" s="1656" t="e">
        <f>#REF!</f>
        <v>#REF!</v>
      </c>
      <c r="G204" s="1656" t="e">
        <f>#REF!</f>
        <v>#REF!</v>
      </c>
    </row>
    <row r="205" spans="1:7" ht="32.25" thickBot="1">
      <c r="B205" s="1655">
        <v>10</v>
      </c>
      <c r="C205" s="1654" t="s">
        <v>2543</v>
      </c>
      <c r="D205" s="1653" t="e">
        <f>#REF!</f>
        <v>#REF!</v>
      </c>
      <c r="E205" s="1653" t="e">
        <f>#REF!</f>
        <v>#REF!</v>
      </c>
      <c r="F205" s="1653" t="e">
        <f>#REF!</f>
        <v>#REF!</v>
      </c>
      <c r="G205" s="1653" t="e">
        <f>#REF!</f>
        <v>#REF!</v>
      </c>
    </row>
    <row r="206" spans="1:7" ht="16.5" thickBot="1">
      <c r="B206" s="1655">
        <v>11</v>
      </c>
      <c r="C206" s="1657" t="s">
        <v>2531</v>
      </c>
      <c r="D206" s="1656" t="e">
        <f>#REF!</f>
        <v>#REF!</v>
      </c>
      <c r="E206" s="1656" t="e">
        <f>#REF!</f>
        <v>#REF!</v>
      </c>
      <c r="F206" s="1656" t="e">
        <f>#REF!</f>
        <v>#REF!</v>
      </c>
      <c r="G206" s="1656" t="e">
        <f>#REF!</f>
        <v>#REF!</v>
      </c>
    </row>
    <row r="207" spans="1:7" ht="32.25" thickBot="1">
      <c r="B207" s="1655">
        <v>12</v>
      </c>
      <c r="C207" s="1654" t="s">
        <v>2596</v>
      </c>
      <c r="D207" s="1653" t="e">
        <f>#REF!</f>
        <v>#REF!</v>
      </c>
      <c r="E207" s="1653" t="e">
        <f>#REF!</f>
        <v>#REF!</v>
      </c>
      <c r="F207" s="1653" t="e">
        <f>#REF!</f>
        <v>#REF!</v>
      </c>
      <c r="G207" s="1653" t="e">
        <f>#REF!</f>
        <v>#REF!</v>
      </c>
    </row>
    <row r="208" spans="1:7" ht="32.25" thickBot="1">
      <c r="B208" s="1655">
        <v>13</v>
      </c>
      <c r="C208" s="1654" t="s">
        <v>2597</v>
      </c>
      <c r="D208" s="1653" t="e">
        <f>#REF!</f>
        <v>#REF!</v>
      </c>
      <c r="E208" s="1653" t="e">
        <f>#REF!</f>
        <v>#REF!</v>
      </c>
      <c r="F208" s="1656" t="e">
        <f>#REF!</f>
        <v>#REF!</v>
      </c>
      <c r="G208" s="1656" t="e">
        <f>#REF!</f>
        <v>#REF!</v>
      </c>
    </row>
    <row r="209" spans="2:7" ht="16.5" thickBot="1">
      <c r="B209" s="1655">
        <v>14</v>
      </c>
      <c r="C209" s="1654" t="s">
        <v>2542</v>
      </c>
      <c r="D209" s="1653" t="e">
        <f>#REF!</f>
        <v>#REF!</v>
      </c>
      <c r="E209" s="1653" t="e">
        <f>#REF!</f>
        <v>#REF!</v>
      </c>
      <c r="F209" s="1653" t="e">
        <f>#REF!</f>
        <v>#REF!</v>
      </c>
      <c r="G209" s="1653" t="e">
        <f>#REF!</f>
        <v>#REF!</v>
      </c>
    </row>
  </sheetData>
  <mergeCells count="63">
    <mergeCell ref="B188:B189"/>
    <mergeCell ref="C188:C189"/>
    <mergeCell ref="D188:G188"/>
    <mergeCell ref="B193:B195"/>
    <mergeCell ref="C193:C195"/>
    <mergeCell ref="D193:G193"/>
    <mergeCell ref="D194:F194"/>
    <mergeCell ref="B171:B172"/>
    <mergeCell ref="C171:C172"/>
    <mergeCell ref="D171:E171"/>
    <mergeCell ref="B179:B180"/>
    <mergeCell ref="C179:C180"/>
    <mergeCell ref="D179:E179"/>
    <mergeCell ref="B149:B150"/>
    <mergeCell ref="C149:C150"/>
    <mergeCell ref="D149:D150"/>
    <mergeCell ref="B157:B158"/>
    <mergeCell ref="C157:C158"/>
    <mergeCell ref="D157:E157"/>
    <mergeCell ref="B103:B104"/>
    <mergeCell ref="C103:C104"/>
    <mergeCell ref="D103:H103"/>
    <mergeCell ref="N103:N104"/>
    <mergeCell ref="B129:B131"/>
    <mergeCell ref="C129:C131"/>
    <mergeCell ref="D129:G129"/>
    <mergeCell ref="D130:D131"/>
    <mergeCell ref="E130:E131"/>
    <mergeCell ref="F130:F131"/>
    <mergeCell ref="D88:D91"/>
    <mergeCell ref="O103:O104"/>
    <mergeCell ref="P103:T103"/>
    <mergeCell ref="E105:E124"/>
    <mergeCell ref="H130:H131"/>
    <mergeCell ref="H86:H87"/>
    <mergeCell ref="N63:S63"/>
    <mergeCell ref="N70:S70"/>
    <mergeCell ref="N75:S75"/>
    <mergeCell ref="O61:R61"/>
    <mergeCell ref="B67:B68"/>
    <mergeCell ref="C67:C68"/>
    <mergeCell ref="D67:G67"/>
    <mergeCell ref="B86:B87"/>
    <mergeCell ref="C86:C87"/>
    <mergeCell ref="D86:G86"/>
    <mergeCell ref="B50:B51"/>
    <mergeCell ref="C50:C51"/>
    <mergeCell ref="D50:F50"/>
    <mergeCell ref="M61:M62"/>
    <mergeCell ref="N61:N62"/>
    <mergeCell ref="B2:B4"/>
    <mergeCell ref="C2:C4"/>
    <mergeCell ref="D2:G2"/>
    <mergeCell ref="H2:K2"/>
    <mergeCell ref="D3:F3"/>
    <mergeCell ref="H3:J3"/>
    <mergeCell ref="B23:B25"/>
    <mergeCell ref="C23:C25"/>
    <mergeCell ref="D23:G23"/>
    <mergeCell ref="D24:F24"/>
    <mergeCell ref="B45:B46"/>
    <mergeCell ref="C45:C46"/>
    <mergeCell ref="D45:G45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"/>
  <sheetViews>
    <sheetView view="pageBreakPreview" zoomScale="69" zoomScaleSheetLayoutView="69" workbookViewId="0">
      <selection activeCell="G30" sqref="G30:I30"/>
    </sheetView>
  </sheetViews>
  <sheetFormatPr defaultRowHeight="15.75"/>
  <cols>
    <col min="1" max="1" width="3.42578125" style="1" customWidth="1"/>
    <col min="2" max="2" width="9.140625" style="1"/>
    <col min="3" max="3" width="41.5703125" style="1" customWidth="1"/>
    <col min="4" max="4" width="12" style="1" hidden="1" customWidth="1"/>
    <col min="5" max="5" width="13.7109375" style="1" hidden="1" customWidth="1"/>
    <col min="6" max="6" width="12" style="1" hidden="1" customWidth="1"/>
    <col min="7" max="7" width="10.85546875" style="1" hidden="1" customWidth="1"/>
    <col min="8" max="8" width="18" style="1" customWidth="1"/>
    <col min="9" max="9" width="12.42578125" style="1" customWidth="1"/>
    <col min="10" max="10" width="21.140625" style="1" customWidth="1"/>
    <col min="11" max="11" width="21.5703125" style="1" bestFit="1" customWidth="1"/>
    <col min="12" max="12" width="19.85546875" style="1" bestFit="1" customWidth="1"/>
    <col min="13" max="13" width="17.5703125" style="1" customWidth="1"/>
    <col min="14" max="16384" width="9.140625" style="1"/>
  </cols>
  <sheetData>
    <row r="1" spans="2:13">
      <c r="K1" s="1854"/>
    </row>
    <row r="2" spans="2:13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</row>
    <row r="3" spans="2:13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</row>
    <row r="4" spans="2:13" ht="15.75" customHeight="1">
      <c r="B4" s="1843"/>
      <c r="C4" s="1843"/>
      <c r="D4" s="1843"/>
      <c r="E4" s="1843"/>
      <c r="F4" s="1843"/>
      <c r="G4" s="1843"/>
      <c r="H4" s="1843"/>
      <c r="I4" s="1843"/>
      <c r="J4" s="1843"/>
      <c r="K4" s="1843"/>
      <c r="L4" s="1843"/>
    </row>
    <row r="5" spans="2:13" ht="15.75" customHeight="1">
      <c r="B5" s="2419" t="s">
        <v>2587</v>
      </c>
      <c r="C5" s="2419"/>
      <c r="D5" s="2419"/>
      <c r="E5" s="2419"/>
      <c r="F5" s="2419"/>
      <c r="G5" s="2419"/>
      <c r="H5" s="2419"/>
      <c r="I5" s="2419"/>
      <c r="J5" s="2419"/>
      <c r="K5" s="2419"/>
      <c r="L5" s="2419"/>
      <c r="M5" s="2419"/>
    </row>
    <row r="6" spans="2:13" ht="15.75" customHeight="1">
      <c r="B6" s="2541" t="s">
        <v>2554</v>
      </c>
      <c r="C6" s="2541"/>
      <c r="D6" s="2541"/>
      <c r="E6" s="2541"/>
      <c r="F6" s="2541"/>
      <c r="G6" s="2541"/>
      <c r="H6" s="2541"/>
      <c r="I6" s="2541"/>
      <c r="J6" s="2541"/>
      <c r="K6" s="2541"/>
      <c r="L6" s="2541"/>
      <c r="M6" s="2541"/>
    </row>
    <row r="7" spans="2:13" ht="16.5" thickBot="1">
      <c r="M7" s="1467" t="s">
        <v>96</v>
      </c>
    </row>
    <row r="8" spans="2:13" ht="31.5">
      <c r="B8" s="2448" t="s">
        <v>349</v>
      </c>
      <c r="C8" s="2450" t="s">
        <v>331</v>
      </c>
      <c r="D8" s="2450" t="s">
        <v>1034</v>
      </c>
      <c r="E8" s="2450"/>
      <c r="F8" s="2450"/>
      <c r="G8" s="2450"/>
      <c r="H8" s="2450" t="s">
        <v>2591</v>
      </c>
      <c r="I8" s="2450"/>
      <c r="J8" s="2450"/>
      <c r="K8" s="2450"/>
      <c r="L8" s="2450"/>
      <c r="M8" s="2142" t="s">
        <v>2592</v>
      </c>
    </row>
    <row r="9" spans="2:13" ht="56.25" customHeight="1">
      <c r="B9" s="2449"/>
      <c r="C9" s="2451"/>
      <c r="D9" s="2140" t="s">
        <v>1228</v>
      </c>
      <c r="E9" s="2144" t="s">
        <v>1036</v>
      </c>
      <c r="F9" s="2140" t="s">
        <v>1038</v>
      </c>
      <c r="G9" s="2144" t="s">
        <v>1037</v>
      </c>
      <c r="H9" s="2140" t="s">
        <v>1035</v>
      </c>
      <c r="I9" s="2144" t="s">
        <v>1036</v>
      </c>
      <c r="J9" s="2144" t="s">
        <v>1229</v>
      </c>
      <c r="K9" s="2144" t="s">
        <v>2568</v>
      </c>
      <c r="L9" s="2144" t="s">
        <v>1231</v>
      </c>
      <c r="M9" s="2146" t="s">
        <v>2590</v>
      </c>
    </row>
    <row r="10" spans="2:13" ht="21.75" customHeight="1">
      <c r="B10" s="2145"/>
      <c r="C10" s="2144" t="s">
        <v>2553</v>
      </c>
      <c r="D10" s="2140">
        <v>1</v>
      </c>
      <c r="E10" s="2140">
        <v>2</v>
      </c>
      <c r="F10" s="2140">
        <v>3</v>
      </c>
      <c r="G10" s="2140">
        <v>4</v>
      </c>
      <c r="H10" s="2157">
        <v>1</v>
      </c>
      <c r="I10" s="2157">
        <v>2</v>
      </c>
      <c r="J10" s="2157">
        <v>3</v>
      </c>
      <c r="K10" s="2157">
        <v>4</v>
      </c>
      <c r="L10" s="2158" t="s">
        <v>2578</v>
      </c>
      <c r="M10" s="2159">
        <v>6</v>
      </c>
    </row>
    <row r="11" spans="2:13">
      <c r="B11" s="2007">
        <v>1</v>
      </c>
      <c r="C11" s="1808" t="s">
        <v>1403</v>
      </c>
      <c r="D11" s="2099">
        <v>702.19</v>
      </c>
      <c r="E11" s="2099">
        <v>401.97</v>
      </c>
      <c r="F11" s="1784">
        <f>'Schedules of Accounts'!E136/10^7</f>
        <v>401.97</v>
      </c>
      <c r="G11" s="1784">
        <f>F11</f>
        <v>401.97</v>
      </c>
      <c r="H11" s="1471">
        <v>1102.1500000000001</v>
      </c>
      <c r="I11" s="1471">
        <v>801.44</v>
      </c>
      <c r="J11" s="1471">
        <v>400.74</v>
      </c>
      <c r="K11" s="1810">
        <f>I11-J11</f>
        <v>400.70000000000005</v>
      </c>
      <c r="L11" s="599">
        <f>I11</f>
        <v>801.44</v>
      </c>
      <c r="M11" s="1410">
        <f ca="1">ARR!M26</f>
        <v>1207.4091819803693</v>
      </c>
    </row>
    <row r="12" spans="2:13" ht="31.5">
      <c r="B12" s="2007">
        <v>2</v>
      </c>
      <c r="C12" s="1808" t="s">
        <v>1415</v>
      </c>
      <c r="D12" s="346"/>
      <c r="E12" s="346"/>
      <c r="F12" s="346"/>
      <c r="G12" s="346"/>
      <c r="H12" s="2100"/>
      <c r="I12" s="2100"/>
      <c r="J12" s="1471">
        <v>31.869178699999999</v>
      </c>
      <c r="K12" s="599">
        <v>0</v>
      </c>
      <c r="L12" s="599">
        <f>SUM(J12:K12)</f>
        <v>31.869178699999999</v>
      </c>
      <c r="M12" s="1410">
        <v>0</v>
      </c>
    </row>
    <row r="13" spans="2:13" ht="16.5" thickBot="1">
      <c r="B13" s="1802"/>
      <c r="C13" s="1809" t="s">
        <v>287</v>
      </c>
      <c r="D13" s="1637">
        <f>D11</f>
        <v>702.19</v>
      </c>
      <c r="E13" s="1637">
        <f>E11</f>
        <v>401.97</v>
      </c>
      <c r="F13" s="1637">
        <f>F11</f>
        <v>401.97</v>
      </c>
      <c r="G13" s="1637">
        <f>G11</f>
        <v>401.97</v>
      </c>
      <c r="H13" s="1585">
        <f t="shared" ref="H13:M13" si="0">SUM(H11:H12)</f>
        <v>1102.1500000000001</v>
      </c>
      <c r="I13" s="1585">
        <f t="shared" si="0"/>
        <v>801.44</v>
      </c>
      <c r="J13" s="1585">
        <f t="shared" si="0"/>
        <v>432.60917870000003</v>
      </c>
      <c r="K13" s="1466">
        <f t="shared" si="0"/>
        <v>400.70000000000005</v>
      </c>
      <c r="L13" s="1803">
        <f>SUM(L11:L12)</f>
        <v>833.30917870000007</v>
      </c>
      <c r="M13" s="1804">
        <f t="shared" ca="1" si="0"/>
        <v>1207.4091819803693</v>
      </c>
    </row>
    <row r="14" spans="2:13">
      <c r="L14" s="1530"/>
    </row>
    <row r="15" spans="2:13">
      <c r="J15" s="1530"/>
    </row>
  </sheetData>
  <sheetProtection selectLockedCells="1" selectUnlockedCells="1"/>
  <mergeCells count="8">
    <mergeCell ref="B5:M5"/>
    <mergeCell ref="B3:M3"/>
    <mergeCell ref="B2:M2"/>
    <mergeCell ref="B8:B9"/>
    <mergeCell ref="C8:C9"/>
    <mergeCell ref="D8:G8"/>
    <mergeCell ref="H8:L8"/>
    <mergeCell ref="B6:M6"/>
  </mergeCells>
  <printOptions horizontalCentered="1"/>
  <pageMargins left="0.7" right="0.7" top="0.75" bottom="0.75" header="0.3" footer="0.3"/>
  <pageSetup paperSize="9" scale="81" firstPageNumber="19" orientation="landscape" useFirstPageNumber="1" r:id="rId1"/>
  <headerFooter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5"/>
  <sheetViews>
    <sheetView view="pageBreakPreview" zoomScale="69" zoomScaleSheetLayoutView="69" workbookViewId="0">
      <selection activeCell="P17" sqref="P17"/>
    </sheetView>
  </sheetViews>
  <sheetFormatPr defaultRowHeight="15.75"/>
  <cols>
    <col min="1" max="1" width="3.42578125" style="1" customWidth="1"/>
    <col min="2" max="2" width="9.140625" style="1"/>
    <col min="3" max="3" width="41.5703125" style="1" customWidth="1"/>
    <col min="4" max="4" width="12" style="1" hidden="1" customWidth="1"/>
    <col min="5" max="5" width="13.7109375" style="1" hidden="1" customWidth="1"/>
    <col min="6" max="6" width="12" style="1" hidden="1" customWidth="1"/>
    <col min="7" max="7" width="10.85546875" style="1" hidden="1" customWidth="1"/>
    <col min="8" max="8" width="18" style="1" hidden="1" customWidth="1"/>
    <col min="9" max="9" width="12.42578125" style="1" hidden="1" customWidth="1"/>
    <col min="10" max="10" width="21.140625" style="1" hidden="1" customWidth="1"/>
    <col min="11" max="11" width="21.5703125" style="1" hidden="1" customWidth="1"/>
    <col min="12" max="12" width="19.85546875" style="1" bestFit="1" customWidth="1"/>
    <col min="13" max="13" width="19.85546875" style="1" customWidth="1"/>
    <col min="14" max="15" width="17.5703125" style="1" customWidth="1"/>
    <col min="16" max="16384" width="9.140625" style="1"/>
  </cols>
  <sheetData>
    <row r="1" spans="2:15">
      <c r="K1" s="2215"/>
    </row>
    <row r="2" spans="2:15" ht="15.75" customHeight="1">
      <c r="B2" s="2418" t="s">
        <v>2549</v>
      </c>
      <c r="C2" s="2418"/>
      <c r="D2" s="2418"/>
      <c r="E2" s="2418"/>
      <c r="F2" s="2418"/>
      <c r="G2" s="2418"/>
      <c r="H2" s="2418"/>
      <c r="I2" s="2418"/>
      <c r="J2" s="2418"/>
      <c r="K2" s="2418"/>
      <c r="L2" s="2418"/>
      <c r="M2" s="2418"/>
      <c r="N2" s="2418"/>
      <c r="O2" s="2208"/>
    </row>
    <row r="3" spans="2:15" ht="15.75" customHeight="1">
      <c r="B3" s="2419" t="s">
        <v>2689</v>
      </c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  <c r="N3" s="2419"/>
      <c r="O3" s="2209"/>
    </row>
    <row r="4" spans="2:15" ht="15.75" customHeight="1">
      <c r="B4" s="2209"/>
      <c r="C4" s="2209"/>
      <c r="D4" s="2209"/>
      <c r="E4" s="2209"/>
      <c r="F4" s="2209"/>
      <c r="G4" s="2209"/>
      <c r="H4" s="2209"/>
      <c r="I4" s="2209"/>
      <c r="J4" s="2209"/>
      <c r="K4" s="2209"/>
      <c r="L4" s="2209"/>
      <c r="M4" s="2209"/>
    </row>
    <row r="5" spans="2:15" ht="15.75" customHeight="1">
      <c r="B5" s="2419" t="s">
        <v>2587</v>
      </c>
      <c r="C5" s="2419"/>
      <c r="D5" s="2419"/>
      <c r="E5" s="2419"/>
      <c r="F5" s="2419"/>
      <c r="G5" s="2419"/>
      <c r="H5" s="2419"/>
      <c r="I5" s="2419"/>
      <c r="J5" s="2419"/>
      <c r="K5" s="2419"/>
      <c r="L5" s="2419"/>
      <c r="M5" s="2419"/>
      <c r="N5" s="2419"/>
      <c r="O5" s="2209"/>
    </row>
    <row r="6" spans="2:15" ht="15.75" customHeight="1">
      <c r="B6" s="2541" t="s">
        <v>2554</v>
      </c>
      <c r="C6" s="2541"/>
      <c r="D6" s="2541"/>
      <c r="E6" s="2541"/>
      <c r="F6" s="2541"/>
      <c r="G6" s="2541"/>
      <c r="H6" s="2541"/>
      <c r="I6" s="2541"/>
      <c r="J6" s="2541"/>
      <c r="K6" s="2541"/>
      <c r="L6" s="2541"/>
      <c r="M6" s="2541"/>
      <c r="N6" s="2541"/>
      <c r="O6" s="2216"/>
    </row>
    <row r="7" spans="2:15" ht="16.5" thickBot="1">
      <c r="N7" s="1467" t="s">
        <v>96</v>
      </c>
      <c r="O7" s="1467"/>
    </row>
    <row r="8" spans="2:15" ht="31.5" customHeight="1">
      <c r="B8" s="2448" t="s">
        <v>349</v>
      </c>
      <c r="C8" s="2450" t="s">
        <v>331</v>
      </c>
      <c r="D8" s="2450" t="s">
        <v>1034</v>
      </c>
      <c r="E8" s="2450"/>
      <c r="F8" s="2450"/>
      <c r="G8" s="2450"/>
      <c r="H8" s="2524" t="s">
        <v>2591</v>
      </c>
      <c r="I8" s="2525"/>
      <c r="J8" s="2525"/>
      <c r="K8" s="2525"/>
      <c r="L8" s="2525"/>
      <c r="M8" s="2526"/>
      <c r="N8" s="2443" t="s">
        <v>2592</v>
      </c>
      <c r="O8" s="2443"/>
    </row>
    <row r="9" spans="2:15" ht="56.25" customHeight="1">
      <c r="B9" s="2449"/>
      <c r="C9" s="2451"/>
      <c r="D9" s="2210" t="s">
        <v>1228</v>
      </c>
      <c r="E9" s="2214" t="s">
        <v>1036</v>
      </c>
      <c r="F9" s="2210" t="s">
        <v>1038</v>
      </c>
      <c r="G9" s="2214" t="s">
        <v>1037</v>
      </c>
      <c r="H9" s="2210" t="s">
        <v>1035</v>
      </c>
      <c r="I9" s="2214" t="s">
        <v>1036</v>
      </c>
      <c r="J9" s="2214" t="s">
        <v>1229</v>
      </c>
      <c r="K9" s="2214" t="s">
        <v>2568</v>
      </c>
      <c r="L9" s="2214" t="s">
        <v>1231</v>
      </c>
      <c r="M9" s="2237" t="s">
        <v>2771</v>
      </c>
      <c r="N9" s="2214" t="s">
        <v>2590</v>
      </c>
      <c r="O9" s="2214" t="s">
        <v>2771</v>
      </c>
    </row>
    <row r="10" spans="2:15" ht="21.75" customHeight="1">
      <c r="B10" s="2213"/>
      <c r="C10" s="2214" t="s">
        <v>2553</v>
      </c>
      <c r="D10" s="2210">
        <v>1</v>
      </c>
      <c r="E10" s="2210">
        <v>2</v>
      </c>
      <c r="F10" s="2210">
        <v>3</v>
      </c>
      <c r="G10" s="2210">
        <v>4</v>
      </c>
      <c r="H10" s="2157">
        <v>1</v>
      </c>
      <c r="I10" s="2157">
        <v>2</v>
      </c>
      <c r="J10" s="2157">
        <v>3</v>
      </c>
      <c r="K10" s="2157">
        <v>4</v>
      </c>
      <c r="L10" s="2158" t="s">
        <v>2578</v>
      </c>
      <c r="M10" s="2238"/>
      <c r="N10" s="2157">
        <v>6</v>
      </c>
      <c r="O10" s="2157"/>
    </row>
    <row r="11" spans="2:15">
      <c r="B11" s="2007">
        <v>1</v>
      </c>
      <c r="C11" s="1808" t="s">
        <v>1403</v>
      </c>
      <c r="D11" s="2099">
        <v>702.19</v>
      </c>
      <c r="E11" s="2099">
        <v>401.97</v>
      </c>
      <c r="F11" s="1784">
        <f>'Schedules of Accounts'!E136/10^7</f>
        <v>401.97</v>
      </c>
      <c r="G11" s="1784">
        <f>F11</f>
        <v>401.97</v>
      </c>
      <c r="H11" s="1471">
        <v>1102.1500000000001</v>
      </c>
      <c r="I11" s="1471">
        <v>801.44</v>
      </c>
      <c r="J11" s="1471">
        <v>400.74</v>
      </c>
      <c r="K11" s="1810">
        <f>I11-J11</f>
        <v>400.70000000000005</v>
      </c>
      <c r="L11" s="599">
        <f>I11</f>
        <v>801.44</v>
      </c>
      <c r="M11" s="2117">
        <f>L11</f>
        <v>801.44</v>
      </c>
      <c r="N11" s="1471">
        <f ca="1">ARR!M26</f>
        <v>1207.4091819803693</v>
      </c>
      <c r="O11" s="2223">
        <f ca="1">ARR!N26</f>
        <v>1673.4884580098646</v>
      </c>
    </row>
    <row r="12" spans="2:15" ht="31.5">
      <c r="B12" s="2007">
        <v>2</v>
      </c>
      <c r="C12" s="1808" t="s">
        <v>1415</v>
      </c>
      <c r="D12" s="346"/>
      <c r="E12" s="346"/>
      <c r="F12" s="346"/>
      <c r="G12" s="346"/>
      <c r="H12" s="2100"/>
      <c r="I12" s="2100"/>
      <c r="J12" s="1471">
        <v>31.869178699999999</v>
      </c>
      <c r="K12" s="599">
        <v>0</v>
      </c>
      <c r="L12" s="599">
        <f>SUM(J12:K12)</f>
        <v>31.869178699999999</v>
      </c>
      <c r="M12" s="2117">
        <f t="shared" ref="M12:O13" si="0">L12</f>
        <v>31.869178699999999</v>
      </c>
      <c r="N12" s="1471">
        <v>0</v>
      </c>
      <c r="O12" s="2223">
        <f t="shared" si="0"/>
        <v>0</v>
      </c>
    </row>
    <row r="13" spans="2:15" ht="16.5" thickBot="1">
      <c r="B13" s="1802"/>
      <c r="C13" s="2217" t="s">
        <v>287</v>
      </c>
      <c r="D13" s="1637">
        <f>D11</f>
        <v>702.19</v>
      </c>
      <c r="E13" s="1637">
        <f>E11</f>
        <v>401.97</v>
      </c>
      <c r="F13" s="1637">
        <f>F11</f>
        <v>401.97</v>
      </c>
      <c r="G13" s="1637">
        <f>G11</f>
        <v>401.97</v>
      </c>
      <c r="H13" s="1585">
        <f t="shared" ref="H13:O13" si="1">SUM(H11:H12)</f>
        <v>1102.1500000000001</v>
      </c>
      <c r="I13" s="1585">
        <f t="shared" si="1"/>
        <v>801.44</v>
      </c>
      <c r="J13" s="1585">
        <f t="shared" si="1"/>
        <v>432.60917870000003</v>
      </c>
      <c r="K13" s="1466">
        <f t="shared" si="1"/>
        <v>400.70000000000005</v>
      </c>
      <c r="L13" s="1803">
        <f>SUM(L11:L12)</f>
        <v>833.30917870000007</v>
      </c>
      <c r="M13" s="2117">
        <f t="shared" si="0"/>
        <v>833.30917870000007</v>
      </c>
      <c r="N13" s="2330">
        <f t="shared" ca="1" si="1"/>
        <v>1207.4091819803693</v>
      </c>
      <c r="O13" s="2330">
        <f t="shared" ca="1" si="1"/>
        <v>1673.4884580098646</v>
      </c>
    </row>
    <row r="14" spans="2:15">
      <c r="L14" s="1530"/>
      <c r="M14" s="1530"/>
    </row>
    <row r="15" spans="2:15">
      <c r="J15" s="1530"/>
    </row>
  </sheetData>
  <sheetProtection selectLockedCells="1" selectUnlockedCells="1"/>
  <mergeCells count="9">
    <mergeCell ref="B2:N2"/>
    <mergeCell ref="B3:N3"/>
    <mergeCell ref="B5:N5"/>
    <mergeCell ref="B6:N6"/>
    <mergeCell ref="B8:B9"/>
    <mergeCell ref="C8:C9"/>
    <mergeCell ref="D8:G8"/>
    <mergeCell ref="H8:M8"/>
    <mergeCell ref="N8:O8"/>
  </mergeCells>
  <printOptions horizontalCentered="1"/>
  <pageMargins left="0.7" right="0.7" top="0.75" bottom="0.75" header="0.3" footer="0.3"/>
  <pageSetup paperSize="9" firstPageNumber="19" orientation="landscape" useFirstPageNumber="1" r:id="rId1"/>
  <headerFooter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B3:H7"/>
  <sheetViews>
    <sheetView view="pageBreakPreview" zoomScale="69" zoomScaleSheetLayoutView="69" workbookViewId="0">
      <selection activeCell="D17" sqref="D17"/>
    </sheetView>
  </sheetViews>
  <sheetFormatPr defaultRowHeight="15"/>
  <cols>
    <col min="2" max="2" width="7.140625" customWidth="1"/>
    <col min="3" max="3" width="29.140625" customWidth="1"/>
    <col min="4" max="4" width="12.85546875" customWidth="1"/>
    <col min="5" max="5" width="12" hidden="1" customWidth="1"/>
    <col min="6" max="6" width="13" hidden="1" customWidth="1"/>
    <col min="7" max="7" width="12.28515625" customWidth="1"/>
    <col min="8" max="8" width="14.7109375" bestFit="1" customWidth="1"/>
  </cols>
  <sheetData>
    <row r="3" spans="2:8">
      <c r="B3" s="1260" t="s">
        <v>1003</v>
      </c>
      <c r="C3" s="970" t="s">
        <v>331</v>
      </c>
      <c r="D3" s="970" t="s">
        <v>2481</v>
      </c>
      <c r="E3" s="1260" t="s">
        <v>425</v>
      </c>
      <c r="F3" s="1260" t="s">
        <v>1751</v>
      </c>
      <c r="G3" s="1260" t="s">
        <v>1752</v>
      </c>
      <c r="H3" s="1520" t="s">
        <v>2590</v>
      </c>
    </row>
    <row r="4" spans="2:8">
      <c r="B4" s="971">
        <v>1</v>
      </c>
      <c r="C4" s="972" t="s">
        <v>2437</v>
      </c>
      <c r="D4" s="971" t="s">
        <v>335</v>
      </c>
      <c r="E4" s="1394">
        <f>'Capex Summary sheet'!D18</f>
        <v>425.50335487411678</v>
      </c>
      <c r="F4" s="1394">
        <f>'Capex Summary sheet'!E18</f>
        <v>1042.3924</v>
      </c>
      <c r="G4" s="1394">
        <f>'Control Sheet'!E3</f>
        <v>1069.694815668485</v>
      </c>
      <c r="H4" s="1394">
        <f>'Control Sheet'!F3</f>
        <v>990.18327759898466</v>
      </c>
    </row>
    <row r="5" spans="2:8">
      <c r="B5" s="971">
        <v>2</v>
      </c>
      <c r="C5" s="972" t="s">
        <v>1027</v>
      </c>
      <c r="D5" s="971" t="s">
        <v>337</v>
      </c>
      <c r="E5" s="1394">
        <f>'F14'!F16</f>
        <v>0.36</v>
      </c>
      <c r="F5" s="1394">
        <v>0</v>
      </c>
      <c r="G5" s="1394">
        <f>'F14'!L16</f>
        <v>9.56</v>
      </c>
      <c r="H5" s="1394">
        <f>'F14'!M16</f>
        <v>8.6</v>
      </c>
    </row>
    <row r="6" spans="2:8">
      <c r="B6" s="971">
        <v>3</v>
      </c>
      <c r="C6" s="972" t="s">
        <v>1394</v>
      </c>
      <c r="D6" s="971" t="s">
        <v>339</v>
      </c>
      <c r="E6" s="1394">
        <f>'F16'!G11</f>
        <v>50.917499999999997</v>
      </c>
      <c r="F6" s="1394">
        <f>'F16'!L11</f>
        <v>0</v>
      </c>
      <c r="G6" s="1394">
        <f>'F16'!M11</f>
        <v>0</v>
      </c>
      <c r="H6" s="1394">
        <f>'F16'!N11</f>
        <v>0</v>
      </c>
    </row>
    <row r="7" spans="2:8">
      <c r="B7" s="971">
        <v>4</v>
      </c>
      <c r="C7" s="972" t="s">
        <v>1393</v>
      </c>
      <c r="D7" s="971" t="s">
        <v>2482</v>
      </c>
      <c r="E7" s="1394">
        <f>E4-E5-E6</f>
        <v>374.22585487411675</v>
      </c>
      <c r="F7" s="1394">
        <f>F4-F5-F6</f>
        <v>1042.3924</v>
      </c>
      <c r="G7" s="1394">
        <f>G4-G5-G6</f>
        <v>1060.1348156684851</v>
      </c>
      <c r="H7" s="1394">
        <f>H4-H5-H6</f>
        <v>981.58327759898464</v>
      </c>
    </row>
  </sheetData>
  <pageMargins left="0.7" right="0.7" top="0.75" bottom="0.75" header="0.3" footer="0.3"/>
  <pageSetup scale="82" orientation="portrait" r:id="rId1"/>
  <colBreaks count="1" manualBreakCount="1">
    <brk id="8" max="7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AE198"/>
  <sheetViews>
    <sheetView view="pageBreakPreview" zoomScale="60" workbookViewId="0">
      <pane ySplit="2" topLeftCell="A65" activePane="bottomLeft" state="frozen"/>
      <selection activeCell="D15" sqref="D15"/>
      <selection pane="bottomLeft" activeCell="A73" sqref="A73:IV73"/>
    </sheetView>
  </sheetViews>
  <sheetFormatPr defaultRowHeight="15"/>
  <cols>
    <col min="1" max="1" width="7.140625" style="1279" customWidth="1"/>
    <col min="2" max="2" width="7.28515625" style="1279" hidden="1" customWidth="1"/>
    <col min="3" max="3" width="39.7109375" style="1279" customWidth="1"/>
    <col min="4" max="4" width="11.140625" style="1279" customWidth="1"/>
    <col min="5" max="9" width="11.28515625" style="1279" customWidth="1"/>
    <col min="10" max="11" width="11.140625" style="1279" customWidth="1"/>
    <col min="12" max="12" width="18" style="1279" customWidth="1"/>
    <col min="13" max="13" width="11.140625" style="1279" customWidth="1"/>
    <col min="14" max="14" width="20.140625" style="1279" customWidth="1"/>
    <col min="15" max="17" width="12.140625" style="1279" customWidth="1"/>
    <col min="18" max="18" width="22.28515625" style="1279" hidden="1" customWidth="1"/>
    <col min="19" max="26" width="0" style="1279" hidden="1" customWidth="1"/>
    <col min="27" max="28" width="12.28515625" style="1279" hidden="1" customWidth="1"/>
    <col min="29" max="40" width="0" style="1279" hidden="1" customWidth="1"/>
    <col min="41" max="16384" width="9.140625" style="1279"/>
  </cols>
  <sheetData>
    <row r="1" spans="1:20">
      <c r="A1" s="2580" t="s">
        <v>2453</v>
      </c>
      <c r="B1" s="2580"/>
      <c r="C1" s="2580"/>
      <c r="D1" s="2580"/>
      <c r="E1" s="2580"/>
      <c r="F1" s="2580"/>
      <c r="G1" s="2580"/>
      <c r="H1" s="2580"/>
      <c r="I1" s="2580"/>
      <c r="J1" s="2580"/>
      <c r="K1" s="2580"/>
      <c r="L1" s="2580"/>
      <c r="M1" s="2580"/>
      <c r="N1" s="2580"/>
      <c r="O1" s="2580"/>
      <c r="P1" s="2580"/>
      <c r="Q1" s="2580"/>
      <c r="R1" s="2580"/>
    </row>
    <row r="2" spans="1:20" ht="57">
      <c r="A2" s="1318" t="s">
        <v>1422</v>
      </c>
      <c r="B2" s="1318" t="s">
        <v>455</v>
      </c>
      <c r="C2" s="1318" t="s">
        <v>1448</v>
      </c>
      <c r="D2" s="1318" t="s">
        <v>2454</v>
      </c>
      <c r="E2" s="1318" t="s">
        <v>2452</v>
      </c>
      <c r="F2" s="1318" t="s">
        <v>2438</v>
      </c>
      <c r="G2" s="1318"/>
      <c r="H2" s="1318"/>
      <c r="I2" s="1318" t="s">
        <v>2455</v>
      </c>
      <c r="J2" s="1318" t="s">
        <v>2456</v>
      </c>
      <c r="K2" s="1318" t="s">
        <v>2473</v>
      </c>
      <c r="L2" s="1318" t="s">
        <v>2474</v>
      </c>
      <c r="M2" s="1318" t="s">
        <v>2438</v>
      </c>
      <c r="N2" s="1318" t="s">
        <v>2457</v>
      </c>
      <c r="O2" s="1318" t="s">
        <v>2458</v>
      </c>
      <c r="P2" s="1318" t="s">
        <v>2438</v>
      </c>
      <c r="Q2" s="1318" t="s">
        <v>2459</v>
      </c>
      <c r="R2" s="1317"/>
    </row>
    <row r="3" spans="1:20">
      <c r="A3" s="2582" t="s">
        <v>1454</v>
      </c>
      <c r="B3" s="2582"/>
      <c r="C3" s="2582"/>
      <c r="D3" s="2582"/>
      <c r="E3" s="2582"/>
      <c r="F3" s="2582"/>
      <c r="G3" s="2582"/>
      <c r="H3" s="2582"/>
      <c r="I3" s="2582"/>
      <c r="J3" s="2582"/>
      <c r="K3" s="2582"/>
      <c r="L3" s="2582"/>
      <c r="M3" s="2582"/>
      <c r="N3" s="2582"/>
      <c r="O3" s="2582"/>
      <c r="P3" s="2582"/>
      <c r="Q3" s="2582"/>
      <c r="R3" s="1317"/>
    </row>
    <row r="4" spans="1:20" ht="30">
      <c r="A4" s="1319">
        <v>1</v>
      </c>
      <c r="B4" s="1320"/>
      <c r="C4" s="1321" t="s">
        <v>2305</v>
      </c>
      <c r="D4" s="1272">
        <v>1041.3599999999999</v>
      </c>
      <c r="E4" s="1272">
        <v>351.47</v>
      </c>
      <c r="F4" s="1272">
        <v>1392.83</v>
      </c>
      <c r="G4" s="1272">
        <v>0</v>
      </c>
      <c r="H4" s="1272">
        <f>I4-G4</f>
        <v>0</v>
      </c>
      <c r="I4" s="1272">
        <f>D4+E4-F4</f>
        <v>0</v>
      </c>
      <c r="J4" s="1272">
        <v>24.97</v>
      </c>
      <c r="K4" s="1273">
        <f t="shared" ref="K4:K18" si="0">J4/$J$64*$K$64</f>
        <v>4.3508243325021096</v>
      </c>
      <c r="L4" s="1273">
        <f t="shared" ref="L4:L18" si="1">J4+K4</f>
        <v>29.320824332502109</v>
      </c>
      <c r="M4" s="1272">
        <f>L4</f>
        <v>29.320824332502109</v>
      </c>
      <c r="N4" s="1272">
        <f t="shared" ref="N4:N40" si="2">I4+L4-M4</f>
        <v>0</v>
      </c>
      <c r="O4" s="1274">
        <v>0</v>
      </c>
      <c r="P4" s="1275">
        <v>0</v>
      </c>
      <c r="Q4" s="1275">
        <f>N4+O4-P4</f>
        <v>0</v>
      </c>
      <c r="R4" s="1322" t="s">
        <v>2306</v>
      </c>
      <c r="S4" s="1322" t="s">
        <v>2307</v>
      </c>
      <c r="T4" s="1317"/>
    </row>
    <row r="5" spans="1:20" ht="30">
      <c r="A5" s="1319">
        <v>2</v>
      </c>
      <c r="B5" s="1320"/>
      <c r="C5" s="1321" t="s">
        <v>2309</v>
      </c>
      <c r="D5" s="1272">
        <v>140.97</v>
      </c>
      <c r="E5" s="1272">
        <v>28.66</v>
      </c>
      <c r="F5" s="1272">
        <v>169.63</v>
      </c>
      <c r="G5" s="1272">
        <v>0</v>
      </c>
      <c r="H5" s="1272">
        <f t="shared" ref="H5:H14" si="3">I5-G5</f>
        <v>0</v>
      </c>
      <c r="I5" s="1272">
        <f t="shared" ref="I5:I16" si="4">D5+E5-F5</f>
        <v>0</v>
      </c>
      <c r="J5" s="1272"/>
      <c r="K5" s="1273">
        <f t="shared" si="0"/>
        <v>0</v>
      </c>
      <c r="L5" s="1273">
        <f t="shared" si="1"/>
        <v>0</v>
      </c>
      <c r="M5" s="1272">
        <f>L5</f>
        <v>0</v>
      </c>
      <c r="N5" s="1272">
        <f t="shared" si="2"/>
        <v>0</v>
      </c>
      <c r="O5" s="1274">
        <v>0</v>
      </c>
      <c r="P5" s="1275">
        <v>0</v>
      </c>
      <c r="Q5" s="1275">
        <f t="shared" ref="Q5:Q16" si="5">N5+O5-P5</f>
        <v>0</v>
      </c>
      <c r="R5" s="1322" t="s">
        <v>2306</v>
      </c>
      <c r="S5" s="1322" t="s">
        <v>2310</v>
      </c>
      <c r="T5" s="1317"/>
    </row>
    <row r="6" spans="1:20" ht="45">
      <c r="A6" s="1319">
        <v>3</v>
      </c>
      <c r="B6" s="1320"/>
      <c r="C6" s="1321" t="s">
        <v>2312</v>
      </c>
      <c r="D6" s="1272">
        <v>97.97</v>
      </c>
      <c r="E6" s="1272">
        <v>432.58</v>
      </c>
      <c r="F6" s="1272">
        <v>530.54999999999995</v>
      </c>
      <c r="G6" s="1272">
        <v>0</v>
      </c>
      <c r="H6" s="1272">
        <f t="shared" si="3"/>
        <v>0</v>
      </c>
      <c r="I6" s="1272">
        <f t="shared" si="4"/>
        <v>0</v>
      </c>
      <c r="J6" s="1272">
        <v>67.48</v>
      </c>
      <c r="K6" s="1273">
        <f t="shared" si="0"/>
        <v>11.757854463646073</v>
      </c>
      <c r="L6" s="1273">
        <f t="shared" si="1"/>
        <v>79.237854463646073</v>
      </c>
      <c r="M6" s="1272">
        <f>L6</f>
        <v>79.237854463646073</v>
      </c>
      <c r="N6" s="1272">
        <f t="shared" si="2"/>
        <v>0</v>
      </c>
      <c r="O6" s="1274">
        <v>0</v>
      </c>
      <c r="P6" s="1275">
        <v>0</v>
      </c>
      <c r="Q6" s="1275">
        <f t="shared" si="5"/>
        <v>0</v>
      </c>
      <c r="R6" s="1322" t="s">
        <v>2306</v>
      </c>
      <c r="S6" s="1322" t="s">
        <v>2313</v>
      </c>
      <c r="T6" s="1317"/>
    </row>
    <row r="7" spans="1:20" ht="30">
      <c r="A7" s="1319">
        <v>4</v>
      </c>
      <c r="B7" s="1320"/>
      <c r="C7" s="1321" t="s">
        <v>2314</v>
      </c>
      <c r="D7" s="1272">
        <v>13.46</v>
      </c>
      <c r="E7" s="1272">
        <v>513.80999999999995</v>
      </c>
      <c r="F7" s="1272">
        <v>527.27</v>
      </c>
      <c r="G7" s="1272">
        <v>0</v>
      </c>
      <c r="H7" s="1272">
        <f t="shared" si="3"/>
        <v>0</v>
      </c>
      <c r="I7" s="1272">
        <f t="shared" si="4"/>
        <v>0</v>
      </c>
      <c r="J7" s="1272">
        <v>135.51</v>
      </c>
      <c r="K7" s="1273">
        <f t="shared" si="0"/>
        <v>23.611542062369278</v>
      </c>
      <c r="L7" s="1273">
        <f t="shared" si="1"/>
        <v>159.12154206236926</v>
      </c>
      <c r="M7" s="1272">
        <f>L7</f>
        <v>159.12154206236926</v>
      </c>
      <c r="N7" s="1272">
        <f t="shared" si="2"/>
        <v>0</v>
      </c>
      <c r="O7" s="1274">
        <v>0</v>
      </c>
      <c r="P7" s="1275">
        <v>0</v>
      </c>
      <c r="Q7" s="1275">
        <f t="shared" si="5"/>
        <v>0</v>
      </c>
      <c r="R7" s="1322" t="s">
        <v>2306</v>
      </c>
      <c r="S7" s="1322" t="s">
        <v>2315</v>
      </c>
      <c r="T7" s="1317"/>
    </row>
    <row r="8" spans="1:20" ht="45">
      <c r="A8" s="1319">
        <v>5</v>
      </c>
      <c r="B8" s="1320"/>
      <c r="C8" s="1321" t="s">
        <v>2316</v>
      </c>
      <c r="D8" s="1272">
        <v>67.95</v>
      </c>
      <c r="E8" s="1272">
        <v>283.77</v>
      </c>
      <c r="F8" s="1272">
        <v>351.71999999999997</v>
      </c>
      <c r="G8" s="1272">
        <v>0</v>
      </c>
      <c r="H8" s="1272">
        <f t="shared" si="3"/>
        <v>0</v>
      </c>
      <c r="I8" s="1272">
        <f t="shared" si="4"/>
        <v>0</v>
      </c>
      <c r="J8" s="1272"/>
      <c r="K8" s="1273">
        <f t="shared" si="0"/>
        <v>0</v>
      </c>
      <c r="L8" s="1273">
        <f t="shared" si="1"/>
        <v>0</v>
      </c>
      <c r="M8" s="1272">
        <f>L8</f>
        <v>0</v>
      </c>
      <c r="N8" s="1272">
        <f t="shared" si="2"/>
        <v>0</v>
      </c>
      <c r="O8" s="1274">
        <v>0</v>
      </c>
      <c r="P8" s="1275">
        <v>0</v>
      </c>
      <c r="Q8" s="1275">
        <f t="shared" si="5"/>
        <v>0</v>
      </c>
      <c r="R8" s="1322" t="s">
        <v>2306</v>
      </c>
      <c r="S8" s="1322" t="s">
        <v>2317</v>
      </c>
      <c r="T8" s="1317"/>
    </row>
    <row r="9" spans="1:20" ht="30">
      <c r="A9" s="1319">
        <v>6</v>
      </c>
      <c r="B9" s="1320"/>
      <c r="C9" s="1321" t="s">
        <v>2318</v>
      </c>
      <c r="D9" s="1272">
        <v>2918.12</v>
      </c>
      <c r="E9" s="1272">
        <v>132.94</v>
      </c>
      <c r="F9" s="1272"/>
      <c r="G9" s="1272">
        <v>3051.06</v>
      </c>
      <c r="H9" s="1272">
        <f t="shared" si="3"/>
        <v>0</v>
      </c>
      <c r="I9" s="1272">
        <f t="shared" si="4"/>
        <v>3051.06</v>
      </c>
      <c r="J9" s="1272">
        <v>6.38</v>
      </c>
      <c r="K9" s="1273">
        <f t="shared" si="0"/>
        <v>1.1116643668948121</v>
      </c>
      <c r="L9" s="1273">
        <f t="shared" si="1"/>
        <v>7.4916643668948115</v>
      </c>
      <c r="M9" s="1272">
        <f>I9+L9</f>
        <v>3058.5516643668948</v>
      </c>
      <c r="N9" s="1272">
        <f t="shared" si="2"/>
        <v>0</v>
      </c>
      <c r="O9" s="1274">
        <v>0</v>
      </c>
      <c r="P9" s="1275">
        <v>0</v>
      </c>
      <c r="Q9" s="1275">
        <f t="shared" si="5"/>
        <v>0</v>
      </c>
      <c r="R9" s="1322"/>
      <c r="S9" s="1322" t="s">
        <v>2319</v>
      </c>
      <c r="T9" s="1317"/>
    </row>
    <row r="10" spans="1:20" ht="60">
      <c r="A10" s="1319">
        <v>7</v>
      </c>
      <c r="B10" s="1320"/>
      <c r="C10" s="1323" t="s">
        <v>2320</v>
      </c>
      <c r="D10" s="1272"/>
      <c r="E10" s="1272">
        <v>191.09</v>
      </c>
      <c r="F10" s="1272"/>
      <c r="G10" s="1272">
        <v>191.09</v>
      </c>
      <c r="H10" s="1272">
        <f t="shared" si="3"/>
        <v>0</v>
      </c>
      <c r="I10" s="1272">
        <f t="shared" si="4"/>
        <v>191.09</v>
      </c>
      <c r="J10" s="1272"/>
      <c r="K10" s="1273">
        <f t="shared" si="0"/>
        <v>0</v>
      </c>
      <c r="L10" s="1273">
        <f t="shared" si="1"/>
        <v>0</v>
      </c>
      <c r="M10" s="1272">
        <f>L10</f>
        <v>0</v>
      </c>
      <c r="N10" s="1272">
        <f t="shared" si="2"/>
        <v>191.09</v>
      </c>
      <c r="O10" s="1274">
        <v>0</v>
      </c>
      <c r="P10" s="1275">
        <v>0</v>
      </c>
      <c r="Q10" s="1275">
        <f t="shared" si="5"/>
        <v>191.09</v>
      </c>
      <c r="R10" s="1322"/>
      <c r="S10" s="1322"/>
      <c r="T10" s="1317"/>
    </row>
    <row r="11" spans="1:20" ht="45">
      <c r="A11" s="1319">
        <v>8</v>
      </c>
      <c r="B11" s="1320"/>
      <c r="C11" s="1321" t="s">
        <v>2321</v>
      </c>
      <c r="D11" s="1272">
        <v>32.75</v>
      </c>
      <c r="E11" s="1272">
        <v>200.94</v>
      </c>
      <c r="F11" s="1272">
        <v>233.69</v>
      </c>
      <c r="G11" s="1272">
        <v>0</v>
      </c>
      <c r="H11" s="1272">
        <f t="shared" si="3"/>
        <v>0</v>
      </c>
      <c r="I11" s="1272">
        <f t="shared" si="4"/>
        <v>0</v>
      </c>
      <c r="J11" s="1272">
        <v>3.82</v>
      </c>
      <c r="K11" s="1273">
        <f t="shared" si="0"/>
        <v>0.66560468362667435</v>
      </c>
      <c r="L11" s="1273">
        <f t="shared" si="1"/>
        <v>4.4856046836266739</v>
      </c>
      <c r="M11" s="1272">
        <f>L11</f>
        <v>4.4856046836266739</v>
      </c>
      <c r="N11" s="1272">
        <f t="shared" si="2"/>
        <v>0</v>
      </c>
      <c r="O11" s="1274">
        <v>0</v>
      </c>
      <c r="P11" s="1275">
        <v>0</v>
      </c>
      <c r="Q11" s="1275">
        <f t="shared" si="5"/>
        <v>0</v>
      </c>
      <c r="R11" s="1322"/>
      <c r="S11" s="1322" t="s">
        <v>2322</v>
      </c>
      <c r="T11" s="1317"/>
    </row>
    <row r="12" spans="1:20" ht="30">
      <c r="A12" s="1319">
        <v>9</v>
      </c>
      <c r="B12" s="1320"/>
      <c r="C12" s="1321" t="s">
        <v>2324</v>
      </c>
      <c r="D12" s="1272">
        <v>784.69</v>
      </c>
      <c r="E12" s="1272">
        <v>33.43</v>
      </c>
      <c r="F12" s="1272"/>
      <c r="G12" s="1272">
        <v>818.12</v>
      </c>
      <c r="H12" s="1272">
        <f t="shared" si="3"/>
        <v>0</v>
      </c>
      <c r="I12" s="1272">
        <f t="shared" si="4"/>
        <v>818.12</v>
      </c>
      <c r="J12" s="1272">
        <v>20.399999999999999</v>
      </c>
      <c r="K12" s="1273">
        <f t="shared" si="0"/>
        <v>3.5545381010429726</v>
      </c>
      <c r="L12" s="1273">
        <f t="shared" si="1"/>
        <v>23.954538101042971</v>
      </c>
      <c r="M12" s="1272">
        <f>I12+L12</f>
        <v>842.074538101043</v>
      </c>
      <c r="N12" s="1272">
        <f t="shared" si="2"/>
        <v>0</v>
      </c>
      <c r="O12" s="1274">
        <v>0</v>
      </c>
      <c r="P12" s="1275">
        <v>0</v>
      </c>
      <c r="Q12" s="1275">
        <f t="shared" si="5"/>
        <v>0</v>
      </c>
      <c r="R12" s="1322"/>
      <c r="S12" s="1322" t="s">
        <v>2325</v>
      </c>
      <c r="T12" s="1317"/>
    </row>
    <row r="13" spans="1:20" ht="30">
      <c r="A13" s="1319">
        <v>10</v>
      </c>
      <c r="B13" s="1320"/>
      <c r="C13" s="1321" t="s">
        <v>2326</v>
      </c>
      <c r="D13" s="1272">
        <v>140.88</v>
      </c>
      <c r="E13" s="1272">
        <v>7.27</v>
      </c>
      <c r="F13" s="1272">
        <v>148.15</v>
      </c>
      <c r="G13" s="1272">
        <v>0</v>
      </c>
      <c r="H13" s="1272">
        <f t="shared" si="3"/>
        <v>0</v>
      </c>
      <c r="I13" s="1272">
        <f t="shared" si="4"/>
        <v>0</v>
      </c>
      <c r="J13" s="1272">
        <v>1.31</v>
      </c>
      <c r="K13" s="1273">
        <f t="shared" si="0"/>
        <v>0.22825710354736742</v>
      </c>
      <c r="L13" s="1273">
        <f t="shared" si="1"/>
        <v>1.5382571035473676</v>
      </c>
      <c r="M13" s="1272">
        <f>L13</f>
        <v>1.5382571035473676</v>
      </c>
      <c r="N13" s="1272">
        <f t="shared" si="2"/>
        <v>0</v>
      </c>
      <c r="O13" s="1274">
        <v>0</v>
      </c>
      <c r="P13" s="1275">
        <v>0</v>
      </c>
      <c r="Q13" s="1275">
        <f t="shared" si="5"/>
        <v>0</v>
      </c>
      <c r="R13" s="1322"/>
      <c r="S13" s="1324" t="s">
        <v>2327</v>
      </c>
      <c r="T13" s="1317"/>
    </row>
    <row r="14" spans="1:20" ht="30">
      <c r="A14" s="1319">
        <v>11</v>
      </c>
      <c r="B14" s="1320"/>
      <c r="C14" s="1321" t="s">
        <v>2329</v>
      </c>
      <c r="D14" s="1272">
        <v>3.72</v>
      </c>
      <c r="E14" s="1272">
        <v>566.04999999999995</v>
      </c>
      <c r="F14" s="1272"/>
      <c r="G14" s="1272">
        <v>569.77</v>
      </c>
      <c r="H14" s="1272">
        <f t="shared" si="3"/>
        <v>0</v>
      </c>
      <c r="I14" s="1272">
        <f t="shared" si="4"/>
        <v>569.77</v>
      </c>
      <c r="J14" s="1272">
        <v>19.8</v>
      </c>
      <c r="K14" s="1273">
        <f t="shared" si="0"/>
        <v>3.449992862777004</v>
      </c>
      <c r="L14" s="1273">
        <f t="shared" si="1"/>
        <v>23.249992862777006</v>
      </c>
      <c r="M14" s="1272">
        <f>I14+L14</f>
        <v>593.01999286277703</v>
      </c>
      <c r="N14" s="1272">
        <f t="shared" si="2"/>
        <v>0</v>
      </c>
      <c r="O14" s="1274">
        <v>0</v>
      </c>
      <c r="P14" s="1275">
        <v>0</v>
      </c>
      <c r="Q14" s="1275">
        <f t="shared" si="5"/>
        <v>0</v>
      </c>
      <c r="R14" s="1322"/>
      <c r="S14" s="1322" t="s">
        <v>2330</v>
      </c>
      <c r="T14" s="1317"/>
    </row>
    <row r="15" spans="1:20" ht="30">
      <c r="A15" s="1319">
        <v>12</v>
      </c>
      <c r="B15" s="1320"/>
      <c r="C15" s="1321" t="s">
        <v>2331</v>
      </c>
      <c r="D15" s="1272"/>
      <c r="E15" s="1272">
        <v>717.21</v>
      </c>
      <c r="F15" s="1272"/>
      <c r="G15" s="1272">
        <v>717.21</v>
      </c>
      <c r="H15" s="1272"/>
      <c r="I15" s="1272">
        <f t="shared" si="4"/>
        <v>717.21</v>
      </c>
      <c r="J15" s="1272">
        <v>339.75</v>
      </c>
      <c r="K15" s="1273">
        <f t="shared" si="0"/>
        <v>59.1987411681054</v>
      </c>
      <c r="L15" s="1273">
        <f t="shared" si="1"/>
        <v>398.94874116810541</v>
      </c>
      <c r="M15" s="1272">
        <f>I15+L15</f>
        <v>1116.1587411681055</v>
      </c>
      <c r="N15" s="1272">
        <f t="shared" si="2"/>
        <v>0</v>
      </c>
      <c r="O15" s="1274">
        <v>0</v>
      </c>
      <c r="P15" s="1275">
        <v>0</v>
      </c>
      <c r="Q15" s="1275">
        <f t="shared" si="5"/>
        <v>0</v>
      </c>
      <c r="R15" s="1322"/>
      <c r="S15" s="1322" t="s">
        <v>2332</v>
      </c>
      <c r="T15" s="1317"/>
    </row>
    <row r="16" spans="1:20" ht="45">
      <c r="A16" s="1319">
        <v>13</v>
      </c>
      <c r="B16" s="1320"/>
      <c r="C16" s="1321" t="s">
        <v>2333</v>
      </c>
      <c r="D16" s="1272"/>
      <c r="E16" s="1272">
        <v>58.95</v>
      </c>
      <c r="F16" s="1272"/>
      <c r="G16" s="1272"/>
      <c r="H16" s="1272"/>
      <c r="I16" s="1272">
        <f t="shared" si="4"/>
        <v>58.95</v>
      </c>
      <c r="J16" s="1272">
        <v>101.86</v>
      </c>
      <c r="K16" s="1273">
        <f t="shared" si="0"/>
        <v>17.74829661628614</v>
      </c>
      <c r="L16" s="1273">
        <f t="shared" si="1"/>
        <v>119.60829661628614</v>
      </c>
      <c r="M16" s="1272">
        <f>I16+L16</f>
        <v>178.55829661628616</v>
      </c>
      <c r="N16" s="1272">
        <f t="shared" si="2"/>
        <v>0</v>
      </c>
      <c r="O16" s="1274">
        <v>0</v>
      </c>
      <c r="P16" s="1275">
        <v>0</v>
      </c>
      <c r="Q16" s="1275">
        <f t="shared" si="5"/>
        <v>0</v>
      </c>
      <c r="R16" s="1322" t="s">
        <v>2306</v>
      </c>
      <c r="S16" s="1324" t="s">
        <v>2334</v>
      </c>
      <c r="T16" s="1317"/>
    </row>
    <row r="17" spans="1:24" ht="75">
      <c r="A17" s="1319">
        <v>14</v>
      </c>
      <c r="B17" s="1325"/>
      <c r="C17" s="1326" t="s">
        <v>1458</v>
      </c>
      <c r="D17" s="1273">
        <v>0</v>
      </c>
      <c r="E17" s="1273">
        <v>23.04</v>
      </c>
      <c r="F17" s="1273">
        <v>0</v>
      </c>
      <c r="G17" s="1273"/>
      <c r="H17" s="1273"/>
      <c r="I17" s="1273">
        <f>D17+E17-F17</f>
        <v>23.04</v>
      </c>
      <c r="J17" s="1273">
        <v>196.96</v>
      </c>
      <c r="K17" s="1273">
        <f t="shared" si="0"/>
        <v>34.318716881442356</v>
      </c>
      <c r="L17" s="1273">
        <f t="shared" si="1"/>
        <v>231.27871688144236</v>
      </c>
      <c r="M17" s="1272">
        <f>I17+L17</f>
        <v>254.31871688144236</v>
      </c>
      <c r="N17" s="1272">
        <f t="shared" si="2"/>
        <v>0</v>
      </c>
      <c r="O17" s="1273">
        <v>0</v>
      </c>
      <c r="P17" s="1273">
        <v>0</v>
      </c>
      <c r="Q17" s="1273">
        <v>0</v>
      </c>
      <c r="R17" s="1326" t="s">
        <v>1457</v>
      </c>
      <c r="S17" s="1280"/>
      <c r="U17" s="1279" t="e">
        <f>#REF!</f>
        <v>#REF!</v>
      </c>
      <c r="V17" s="1279">
        <f>SUM(E17:O17)</f>
        <v>762.95615064432707</v>
      </c>
      <c r="X17" s="1279" t="e">
        <f>U17-V17</f>
        <v>#REF!</v>
      </c>
    </row>
    <row r="18" spans="1:24">
      <c r="A18" s="1319">
        <v>15</v>
      </c>
      <c r="B18" s="1326" t="s">
        <v>1462</v>
      </c>
      <c r="C18" s="1326" t="s">
        <v>1463</v>
      </c>
      <c r="D18" s="1273">
        <v>0</v>
      </c>
      <c r="E18" s="1273">
        <v>144.74</v>
      </c>
      <c r="F18" s="1273">
        <v>0</v>
      </c>
      <c r="G18" s="1273"/>
      <c r="H18" s="1273"/>
      <c r="I18" s="1273">
        <f>D18+E18-F18</f>
        <v>144.74</v>
      </c>
      <c r="J18" s="1273">
        <v>487.26</v>
      </c>
      <c r="K18" s="1273">
        <f t="shared" si="0"/>
        <v>84.901187995794075</v>
      </c>
      <c r="L18" s="1273">
        <f t="shared" si="1"/>
        <v>572.16118799579408</v>
      </c>
      <c r="M18" s="1272">
        <f>I18+L18</f>
        <v>716.90118799579409</v>
      </c>
      <c r="N18" s="1272">
        <f t="shared" si="2"/>
        <v>0</v>
      </c>
      <c r="O18" s="1273">
        <v>0</v>
      </c>
      <c r="P18" s="1273">
        <v>0</v>
      </c>
      <c r="Q18" s="1273">
        <v>0</v>
      </c>
      <c r="R18" s="1326" t="s">
        <v>1464</v>
      </c>
      <c r="S18" s="1280"/>
      <c r="U18" s="1279" t="e">
        <f>#REF!</f>
        <v>#REF!</v>
      </c>
      <c r="V18" s="1279">
        <f>SUM(E18:O18)</f>
        <v>2150.703563987382</v>
      </c>
      <c r="X18" s="1279" t="e">
        <f>U18-V18</f>
        <v>#REF!</v>
      </c>
    </row>
    <row r="19" spans="1:24">
      <c r="A19" s="1319"/>
      <c r="B19" s="1326"/>
      <c r="C19" s="1326"/>
      <c r="D19" s="1273"/>
      <c r="E19" s="1273"/>
      <c r="F19" s="1275"/>
      <c r="G19" s="1275"/>
      <c r="H19" s="1275"/>
      <c r="I19" s="1273"/>
      <c r="J19" s="1273"/>
      <c r="K19" s="1273"/>
      <c r="L19" s="1273"/>
      <c r="M19" s="1272"/>
      <c r="N19" s="1272"/>
      <c r="O19" s="1273"/>
      <c r="P19" s="1273"/>
      <c r="Q19" s="1273"/>
      <c r="R19" s="1326"/>
      <c r="S19" s="1280"/>
    </row>
    <row r="20" spans="1:24">
      <c r="A20" s="1319"/>
      <c r="B20" s="1326"/>
      <c r="C20" s="1326"/>
      <c r="D20" s="1273"/>
      <c r="E20" s="1273"/>
      <c r="F20" s="1275"/>
      <c r="G20" s="1275"/>
      <c r="H20" s="1275"/>
      <c r="I20" s="1273"/>
      <c r="J20" s="1273"/>
      <c r="K20" s="1273"/>
      <c r="L20" s="1273"/>
      <c r="M20" s="1272"/>
      <c r="N20" s="1272"/>
      <c r="O20" s="1273"/>
      <c r="P20" s="1273"/>
      <c r="Q20" s="1273"/>
      <c r="R20" s="1326"/>
      <c r="S20" s="1280"/>
    </row>
    <row r="21" spans="1:24">
      <c r="A21" s="1319"/>
      <c r="B21" s="1281"/>
      <c r="C21" s="1326"/>
      <c r="D21" s="1273"/>
      <c r="E21" s="1273"/>
      <c r="F21" s="1275"/>
      <c r="G21" s="1275"/>
      <c r="H21" s="1275"/>
      <c r="I21" s="1273"/>
      <c r="J21" s="1275"/>
      <c r="K21" s="1273"/>
      <c r="L21" s="1273"/>
      <c r="M21" s="1272"/>
      <c r="N21" s="1272"/>
      <c r="O21" s="1275"/>
      <c r="P21" s="1275"/>
      <c r="Q21" s="1273"/>
      <c r="R21" s="1326"/>
      <c r="S21" s="1280"/>
    </row>
    <row r="22" spans="1:24" s="1282" customFormat="1" ht="30">
      <c r="A22" s="1319">
        <v>19</v>
      </c>
      <c r="B22" s="1326" t="s">
        <v>1516</v>
      </c>
      <c r="C22" s="1326" t="s">
        <v>1517</v>
      </c>
      <c r="D22" s="1273">
        <v>0</v>
      </c>
      <c r="E22" s="1273">
        <v>28.07</v>
      </c>
      <c r="F22" s="1275">
        <v>0</v>
      </c>
      <c r="G22" s="1275"/>
      <c r="H22" s="1275"/>
      <c r="I22" s="1273">
        <f t="shared" ref="I22:I45" si="6">D22+E22-F22</f>
        <v>28.07</v>
      </c>
      <c r="J22" s="1273">
        <v>400</v>
      </c>
      <c r="K22" s="1273">
        <f t="shared" ref="K22:K35" si="7">J22/$J$64*$K$64</f>
        <v>69.696825510646534</v>
      </c>
      <c r="L22" s="1273">
        <f t="shared" ref="L22:L28" si="8">J22+K22</f>
        <v>469.69682551064653</v>
      </c>
      <c r="M22" s="1273">
        <v>0</v>
      </c>
      <c r="N22" s="1273">
        <f t="shared" si="2"/>
        <v>497.76682551064653</v>
      </c>
      <c r="O22" s="1273">
        <v>43.23</v>
      </c>
      <c r="P22" s="1273">
        <f>N22+O22</f>
        <v>540.99682551064654</v>
      </c>
      <c r="Q22" s="1273">
        <f t="shared" ref="Q22:Q45" si="9">N22+O22-P22</f>
        <v>0</v>
      </c>
      <c r="R22" s="1326"/>
      <c r="S22" s="1280"/>
    </row>
    <row r="23" spans="1:24" ht="45">
      <c r="A23" s="1319">
        <v>20</v>
      </c>
      <c r="B23" s="1326" t="s">
        <v>1519</v>
      </c>
      <c r="C23" s="1326" t="s">
        <v>1520</v>
      </c>
      <c r="D23" s="1273">
        <v>0</v>
      </c>
      <c r="E23" s="1273">
        <v>0.94</v>
      </c>
      <c r="F23" s="1275">
        <v>0</v>
      </c>
      <c r="G23" s="1275"/>
      <c r="H23" s="1275"/>
      <c r="I23" s="1273">
        <f t="shared" si="6"/>
        <v>0.94</v>
      </c>
      <c r="J23" s="1273">
        <v>450</v>
      </c>
      <c r="K23" s="1273">
        <f t="shared" si="7"/>
        <v>78.408928699477357</v>
      </c>
      <c r="L23" s="1273">
        <f t="shared" si="8"/>
        <v>528.40892869947731</v>
      </c>
      <c r="M23" s="1273">
        <v>0</v>
      </c>
      <c r="N23" s="1273">
        <f t="shared" si="2"/>
        <v>529.34892869947737</v>
      </c>
      <c r="O23" s="1273">
        <v>177.46</v>
      </c>
      <c r="P23" s="1273">
        <f>N23+O23</f>
        <v>706.80892869947741</v>
      </c>
      <c r="Q23" s="1273">
        <f t="shared" si="9"/>
        <v>0</v>
      </c>
      <c r="R23" s="1326"/>
      <c r="S23" s="1280"/>
    </row>
    <row r="24" spans="1:24" ht="30">
      <c r="A24" s="1319">
        <v>21</v>
      </c>
      <c r="B24" s="1326" t="s">
        <v>1522</v>
      </c>
      <c r="C24" s="1326" t="s">
        <v>1523</v>
      </c>
      <c r="D24" s="1273">
        <v>0</v>
      </c>
      <c r="E24" s="1273">
        <v>148.04</v>
      </c>
      <c r="F24" s="1275">
        <v>0</v>
      </c>
      <c r="G24" s="1275"/>
      <c r="H24" s="1275"/>
      <c r="I24" s="1273">
        <f t="shared" si="6"/>
        <v>148.04</v>
      </c>
      <c r="J24" s="1273">
        <v>600</v>
      </c>
      <c r="K24" s="1273">
        <f t="shared" si="7"/>
        <v>104.5452382659698</v>
      </c>
      <c r="L24" s="1273">
        <f t="shared" si="8"/>
        <v>704.54523826596983</v>
      </c>
      <c r="M24" s="1273">
        <v>0</v>
      </c>
      <c r="N24" s="1273">
        <f t="shared" si="2"/>
        <v>852.58523826596979</v>
      </c>
      <c r="O24" s="1273">
        <v>37.46</v>
      </c>
      <c r="P24" s="1273">
        <f>N24+O24</f>
        <v>890.04523826596983</v>
      </c>
      <c r="Q24" s="1273">
        <f t="shared" si="9"/>
        <v>0</v>
      </c>
      <c r="R24" s="1326"/>
      <c r="S24" s="1280"/>
    </row>
    <row r="25" spans="1:24" ht="30">
      <c r="A25" s="1319">
        <v>22</v>
      </c>
      <c r="B25" s="1326" t="s">
        <v>1516</v>
      </c>
      <c r="C25" s="1326" t="s">
        <v>1524</v>
      </c>
      <c r="D25" s="1273">
        <v>0</v>
      </c>
      <c r="E25" s="1273">
        <v>20.25</v>
      </c>
      <c r="F25" s="1275">
        <v>0</v>
      </c>
      <c r="G25" s="1275"/>
      <c r="H25" s="1275"/>
      <c r="I25" s="1273">
        <f t="shared" si="6"/>
        <v>20.25</v>
      </c>
      <c r="J25" s="1273">
        <v>26.88</v>
      </c>
      <c r="K25" s="1273">
        <f t="shared" si="7"/>
        <v>4.6836266743154464</v>
      </c>
      <c r="L25" s="1273">
        <f t="shared" si="8"/>
        <v>31.563626674315444</v>
      </c>
      <c r="M25" s="1273">
        <f>I25+L25</f>
        <v>51.813626674315444</v>
      </c>
      <c r="N25" s="1273">
        <f t="shared" si="2"/>
        <v>0</v>
      </c>
      <c r="O25" s="1273">
        <v>0</v>
      </c>
      <c r="P25" s="1273"/>
      <c r="Q25" s="1273">
        <f t="shared" si="9"/>
        <v>0</v>
      </c>
      <c r="R25" s="1326"/>
      <c r="S25" s="1280"/>
    </row>
    <row r="26" spans="1:24" ht="30">
      <c r="A26" s="1319">
        <v>23</v>
      </c>
      <c r="B26" s="1326" t="s">
        <v>1516</v>
      </c>
      <c r="C26" s="1326" t="s">
        <v>1526</v>
      </c>
      <c r="D26" s="1273">
        <f>F15/100</f>
        <v>0</v>
      </c>
      <c r="E26" s="1273">
        <f>M15/100</f>
        <v>11.161587411681055</v>
      </c>
      <c r="F26" s="1275">
        <f>P15/100</f>
        <v>0</v>
      </c>
      <c r="G26" s="1275"/>
      <c r="H26" s="1275"/>
      <c r="I26" s="1273">
        <f t="shared" si="6"/>
        <v>11.161587411681055</v>
      </c>
      <c r="J26" s="1273">
        <v>0</v>
      </c>
      <c r="K26" s="1273">
        <f t="shared" si="7"/>
        <v>0</v>
      </c>
      <c r="L26" s="1273">
        <f t="shared" si="8"/>
        <v>0</v>
      </c>
      <c r="M26" s="1273">
        <v>0</v>
      </c>
      <c r="N26" s="1273">
        <f t="shared" si="2"/>
        <v>11.161587411681055</v>
      </c>
      <c r="O26" s="1273">
        <v>1099.7</v>
      </c>
      <c r="P26" s="1273">
        <f>N26+O26</f>
        <v>1110.8615874116811</v>
      </c>
      <c r="Q26" s="1273">
        <f t="shared" si="9"/>
        <v>0</v>
      </c>
      <c r="R26" s="1326"/>
      <c r="S26" s="1280"/>
    </row>
    <row r="27" spans="1:24" s="1282" customFormat="1" ht="30">
      <c r="A27" s="1327">
        <v>24</v>
      </c>
      <c r="B27" s="1283" t="s">
        <v>1527</v>
      </c>
      <c r="C27" s="1326" t="s">
        <v>1528</v>
      </c>
      <c r="D27" s="1273">
        <v>0</v>
      </c>
      <c r="E27" s="1275">
        <v>0</v>
      </c>
      <c r="F27" s="1275">
        <v>0</v>
      </c>
      <c r="G27" s="1275"/>
      <c r="H27" s="1275"/>
      <c r="I27" s="1273">
        <f t="shared" si="6"/>
        <v>0</v>
      </c>
      <c r="J27" s="1273">
        <v>300</v>
      </c>
      <c r="K27" s="1273">
        <f t="shared" si="7"/>
        <v>52.2726191329849</v>
      </c>
      <c r="L27" s="1273">
        <f t="shared" si="8"/>
        <v>352.27261913298491</v>
      </c>
      <c r="M27" s="1275">
        <v>0</v>
      </c>
      <c r="N27" s="1273">
        <f t="shared" si="2"/>
        <v>352.27261913298491</v>
      </c>
      <c r="O27" s="1273">
        <v>443</v>
      </c>
      <c r="P27" s="1273">
        <f>N27+O27</f>
        <v>795.27261913298491</v>
      </c>
      <c r="Q27" s="1273">
        <f t="shared" si="9"/>
        <v>0</v>
      </c>
      <c r="R27" s="1326"/>
      <c r="S27" s="1280"/>
    </row>
    <row r="28" spans="1:24" s="1282" customFormat="1" ht="30">
      <c r="A28" s="1327">
        <v>25</v>
      </c>
      <c r="B28" s="1284" t="s">
        <v>1530</v>
      </c>
      <c r="C28" s="1326" t="s">
        <v>1531</v>
      </c>
      <c r="D28" s="1273">
        <v>0</v>
      </c>
      <c r="E28" s="1276">
        <v>0.01</v>
      </c>
      <c r="F28" s="1275">
        <v>0</v>
      </c>
      <c r="G28" s="1275"/>
      <c r="H28" s="1275"/>
      <c r="I28" s="1273">
        <f t="shared" si="6"/>
        <v>0.01</v>
      </c>
      <c r="J28" s="1276">
        <v>415.99</v>
      </c>
      <c r="K28" s="1273">
        <f t="shared" si="7"/>
        <v>72.482956110434628</v>
      </c>
      <c r="L28" s="1273">
        <f t="shared" si="8"/>
        <v>488.47295611043467</v>
      </c>
      <c r="M28" s="1276">
        <v>0</v>
      </c>
      <c r="N28" s="1273">
        <f t="shared" si="2"/>
        <v>488.48295611043466</v>
      </c>
      <c r="O28" s="1276">
        <v>0</v>
      </c>
      <c r="P28" s="1276">
        <v>0</v>
      </c>
      <c r="Q28" s="1273">
        <f t="shared" si="9"/>
        <v>488.48295611043466</v>
      </c>
      <c r="R28" s="1326"/>
      <c r="S28" s="1280"/>
    </row>
    <row r="29" spans="1:24">
      <c r="A29" s="1319">
        <v>26</v>
      </c>
      <c r="B29" s="1326" t="s">
        <v>1533</v>
      </c>
      <c r="C29" s="1326" t="s">
        <v>1534</v>
      </c>
      <c r="D29" s="1273">
        <v>0</v>
      </c>
      <c r="E29" s="1273">
        <v>0</v>
      </c>
      <c r="F29" s="1275">
        <v>0</v>
      </c>
      <c r="G29" s="1275"/>
      <c r="H29" s="1275"/>
      <c r="I29" s="1273">
        <f t="shared" si="6"/>
        <v>0</v>
      </c>
      <c r="J29" s="1273">
        <v>743</v>
      </c>
      <c r="K29" s="1273">
        <f t="shared" si="7"/>
        <v>129.46185338602592</v>
      </c>
      <c r="L29" s="1273">
        <f t="shared" ref="L29:L63" si="10">J29+K29</f>
        <v>872.46185338602595</v>
      </c>
      <c r="M29" s="1273">
        <v>743</v>
      </c>
      <c r="N29" s="1273">
        <f t="shared" si="2"/>
        <v>129.46185338602595</v>
      </c>
      <c r="O29" s="1273">
        <v>0</v>
      </c>
      <c r="P29" s="1273">
        <v>0</v>
      </c>
      <c r="Q29" s="1273">
        <f t="shared" si="9"/>
        <v>129.46185338602595</v>
      </c>
      <c r="R29" s="1326"/>
      <c r="S29" s="1280"/>
    </row>
    <row r="30" spans="1:24" ht="30">
      <c r="A30" s="1319">
        <v>27</v>
      </c>
      <c r="B30" s="1281" t="s">
        <v>1535</v>
      </c>
      <c r="C30" s="1326" t="s">
        <v>1536</v>
      </c>
      <c r="D30" s="1273">
        <v>0</v>
      </c>
      <c r="E30" s="1273">
        <v>0</v>
      </c>
      <c r="F30" s="1275">
        <v>0</v>
      </c>
      <c r="G30" s="1275"/>
      <c r="H30" s="1275"/>
      <c r="I30" s="1273">
        <f t="shared" si="6"/>
        <v>0</v>
      </c>
      <c r="J30" s="1273">
        <v>0</v>
      </c>
      <c r="K30" s="1273">
        <f t="shared" si="7"/>
        <v>0</v>
      </c>
      <c r="L30" s="1273">
        <f t="shared" si="10"/>
        <v>0</v>
      </c>
      <c r="M30" s="1273">
        <v>0</v>
      </c>
      <c r="N30" s="1273">
        <f t="shared" si="2"/>
        <v>0</v>
      </c>
      <c r="O30" s="1273">
        <v>743</v>
      </c>
      <c r="P30" s="1273">
        <v>743</v>
      </c>
      <c r="Q30" s="1273">
        <f t="shared" si="9"/>
        <v>0</v>
      </c>
      <c r="R30" s="1326"/>
      <c r="S30" s="1280"/>
    </row>
    <row r="31" spans="1:24">
      <c r="A31" s="1319">
        <v>28</v>
      </c>
      <c r="B31" s="1281" t="s">
        <v>1535</v>
      </c>
      <c r="C31" s="1326" t="s">
        <v>1537</v>
      </c>
      <c r="D31" s="1273">
        <v>0</v>
      </c>
      <c r="E31" s="1276">
        <v>0</v>
      </c>
      <c r="F31" s="1275">
        <v>0</v>
      </c>
      <c r="G31" s="1275"/>
      <c r="H31" s="1275"/>
      <c r="I31" s="1273">
        <f t="shared" si="6"/>
        <v>0</v>
      </c>
      <c r="J31" s="1276">
        <v>500</v>
      </c>
      <c r="K31" s="1273">
        <f t="shared" si="7"/>
        <v>87.121031888308167</v>
      </c>
      <c r="L31" s="1273">
        <f t="shared" si="10"/>
        <v>587.12103188830815</v>
      </c>
      <c r="M31" s="1276">
        <v>0</v>
      </c>
      <c r="N31" s="1273">
        <f t="shared" si="2"/>
        <v>587.12103188830815</v>
      </c>
      <c r="O31" s="1276">
        <v>58</v>
      </c>
      <c r="P31" s="1273">
        <f t="shared" ref="P31:P40" si="11">N31+O31</f>
        <v>645.12103188830815</v>
      </c>
      <c r="Q31" s="1273">
        <f t="shared" si="9"/>
        <v>0</v>
      </c>
      <c r="R31" s="1326"/>
      <c r="S31" s="1280"/>
    </row>
    <row r="32" spans="1:24">
      <c r="A32" s="1319">
        <v>29</v>
      </c>
      <c r="B32" s="1281" t="s">
        <v>1538</v>
      </c>
      <c r="C32" s="1326" t="s">
        <v>1539</v>
      </c>
      <c r="D32" s="1273">
        <v>0</v>
      </c>
      <c r="E32" s="1276">
        <v>0</v>
      </c>
      <c r="F32" s="1275">
        <v>0</v>
      </c>
      <c r="G32" s="1275"/>
      <c r="H32" s="1275"/>
      <c r="I32" s="1273">
        <f t="shared" si="6"/>
        <v>0</v>
      </c>
      <c r="J32" s="1276">
        <v>300</v>
      </c>
      <c r="K32" s="1273">
        <f t="shared" si="7"/>
        <v>52.2726191329849</v>
      </c>
      <c r="L32" s="1273">
        <f t="shared" si="10"/>
        <v>352.27261913298491</v>
      </c>
      <c r="M32" s="1276">
        <v>0</v>
      </c>
      <c r="N32" s="1273">
        <f t="shared" si="2"/>
        <v>352.27261913298491</v>
      </c>
      <c r="O32" s="1276">
        <v>1417</v>
      </c>
      <c r="P32" s="1273">
        <f t="shared" si="11"/>
        <v>1769.2726191329848</v>
      </c>
      <c r="Q32" s="1273">
        <f t="shared" si="9"/>
        <v>0</v>
      </c>
      <c r="R32" s="1326"/>
      <c r="S32" s="1280"/>
    </row>
    <row r="33" spans="1:31" ht="30">
      <c r="A33" s="1319">
        <v>30</v>
      </c>
      <c r="B33" s="1281" t="s">
        <v>1540</v>
      </c>
      <c r="C33" s="1326" t="s">
        <v>1541</v>
      </c>
      <c r="D33" s="1273">
        <v>0</v>
      </c>
      <c r="E33" s="1276">
        <v>0</v>
      </c>
      <c r="F33" s="1275">
        <v>0</v>
      </c>
      <c r="G33" s="1275"/>
      <c r="H33" s="1275"/>
      <c r="I33" s="1273">
        <f t="shared" si="6"/>
        <v>0</v>
      </c>
      <c r="J33" s="1276">
        <v>112</v>
      </c>
      <c r="K33" s="1273">
        <f t="shared" si="7"/>
        <v>19.515111142981031</v>
      </c>
      <c r="L33" s="1273">
        <f t="shared" si="10"/>
        <v>131.51511114298103</v>
      </c>
      <c r="M33" s="1276">
        <f>L33</f>
        <v>131.51511114298103</v>
      </c>
      <c r="N33" s="1273">
        <f t="shared" si="2"/>
        <v>0</v>
      </c>
      <c r="O33" s="1276">
        <v>0</v>
      </c>
      <c r="P33" s="1273">
        <f t="shared" si="11"/>
        <v>0</v>
      </c>
      <c r="Q33" s="1273">
        <f t="shared" si="9"/>
        <v>0</v>
      </c>
      <c r="R33" s="1326"/>
      <c r="S33" s="1280"/>
    </row>
    <row r="34" spans="1:31" ht="30">
      <c r="A34" s="1319">
        <v>31</v>
      </c>
      <c r="B34" s="1281"/>
      <c r="C34" s="1326" t="s">
        <v>1543</v>
      </c>
      <c r="D34" s="1273">
        <v>0</v>
      </c>
      <c r="E34" s="1276">
        <v>0</v>
      </c>
      <c r="F34" s="1275">
        <v>0</v>
      </c>
      <c r="G34" s="1275"/>
      <c r="H34" s="1275"/>
      <c r="I34" s="1273">
        <f t="shared" si="6"/>
        <v>0</v>
      </c>
      <c r="J34" s="1276">
        <v>700</v>
      </c>
      <c r="K34" s="1273">
        <f t="shared" si="7"/>
        <v>121.96944464363143</v>
      </c>
      <c r="L34" s="1273">
        <f t="shared" si="10"/>
        <v>821.96944464363139</v>
      </c>
      <c r="M34" s="1276">
        <v>0</v>
      </c>
      <c r="N34" s="1273">
        <f t="shared" si="2"/>
        <v>821.96944464363139</v>
      </c>
      <c r="O34" s="1276">
        <v>601</v>
      </c>
      <c r="P34" s="1273">
        <f t="shared" si="11"/>
        <v>1422.9694446436315</v>
      </c>
      <c r="Q34" s="1273">
        <f t="shared" si="9"/>
        <v>0</v>
      </c>
      <c r="R34" s="1326"/>
      <c r="S34" s="1280"/>
    </row>
    <row r="35" spans="1:31" ht="30">
      <c r="A35" s="1319">
        <v>32</v>
      </c>
      <c r="B35" s="1283" t="s">
        <v>1544</v>
      </c>
      <c r="C35" s="1326" t="s">
        <v>1545</v>
      </c>
      <c r="D35" s="1273">
        <v>0</v>
      </c>
      <c r="E35" s="1276">
        <v>0</v>
      </c>
      <c r="F35" s="1275">
        <v>0</v>
      </c>
      <c r="G35" s="1275"/>
      <c r="H35" s="1275"/>
      <c r="I35" s="1273">
        <f t="shared" si="6"/>
        <v>0</v>
      </c>
      <c r="J35" s="1276">
        <v>200</v>
      </c>
      <c r="K35" s="1273">
        <f t="shared" si="7"/>
        <v>34.848412755323267</v>
      </c>
      <c r="L35" s="1273">
        <f t="shared" si="10"/>
        <v>234.84841275532327</v>
      </c>
      <c r="M35" s="1276">
        <v>0</v>
      </c>
      <c r="N35" s="1273">
        <f t="shared" si="2"/>
        <v>234.84841275532327</v>
      </c>
      <c r="O35" s="1276">
        <v>866</v>
      </c>
      <c r="P35" s="1273">
        <f t="shared" si="11"/>
        <v>1100.8484127553234</v>
      </c>
      <c r="Q35" s="1273">
        <f t="shared" si="9"/>
        <v>0</v>
      </c>
      <c r="R35" s="1326"/>
      <c r="S35" s="1280"/>
    </row>
    <row r="36" spans="1:31" ht="30">
      <c r="A36" s="1319">
        <v>33</v>
      </c>
      <c r="B36" s="1328" t="s">
        <v>1546</v>
      </c>
      <c r="C36" s="1326" t="s">
        <v>1547</v>
      </c>
      <c r="D36" s="1273">
        <v>0</v>
      </c>
      <c r="E36" s="1276">
        <v>0</v>
      </c>
      <c r="F36" s="1275">
        <v>0</v>
      </c>
      <c r="G36" s="1275"/>
      <c r="H36" s="1275"/>
      <c r="I36" s="1273">
        <f t="shared" si="6"/>
        <v>0</v>
      </c>
      <c r="J36" s="1276">
        <v>660</v>
      </c>
      <c r="K36" s="1273">
        <f t="shared" ref="K36:K63" si="12">J36/$J$64*$K$64</f>
        <v>114.99976209256678</v>
      </c>
      <c r="L36" s="1273">
        <f t="shared" si="10"/>
        <v>774.99976209256681</v>
      </c>
      <c r="M36" s="1276">
        <v>0</v>
      </c>
      <c r="N36" s="1273">
        <f t="shared" si="2"/>
        <v>774.99976209256681</v>
      </c>
      <c r="O36" s="1276">
        <v>663</v>
      </c>
      <c r="P36" s="1273">
        <f t="shared" si="11"/>
        <v>1437.9997620925669</v>
      </c>
      <c r="Q36" s="1273">
        <f t="shared" si="9"/>
        <v>0</v>
      </c>
      <c r="R36" s="1326"/>
      <c r="S36" s="1280"/>
    </row>
    <row r="37" spans="1:31" ht="30">
      <c r="A37" s="1319">
        <v>34</v>
      </c>
      <c r="B37" s="1328" t="s">
        <v>1549</v>
      </c>
      <c r="C37" s="1326" t="s">
        <v>1550</v>
      </c>
      <c r="D37" s="1273">
        <v>0</v>
      </c>
      <c r="E37" s="1276">
        <v>0</v>
      </c>
      <c r="F37" s="1275">
        <v>0</v>
      </c>
      <c r="G37" s="1275"/>
      <c r="H37" s="1275"/>
      <c r="I37" s="1273">
        <f t="shared" si="6"/>
        <v>0</v>
      </c>
      <c r="J37" s="1276">
        <v>500</v>
      </c>
      <c r="K37" s="1273">
        <f t="shared" si="12"/>
        <v>87.121031888308167</v>
      </c>
      <c r="L37" s="1273">
        <f t="shared" si="10"/>
        <v>587.12103188830815</v>
      </c>
      <c r="M37" s="1276">
        <v>0</v>
      </c>
      <c r="N37" s="1273">
        <f t="shared" si="2"/>
        <v>587.12103188830815</v>
      </c>
      <c r="O37" s="1276">
        <v>169</v>
      </c>
      <c r="P37" s="1273">
        <f t="shared" si="11"/>
        <v>756.12103188830815</v>
      </c>
      <c r="Q37" s="1273">
        <f t="shared" si="9"/>
        <v>0</v>
      </c>
      <c r="R37" s="1326"/>
      <c r="S37" s="1280"/>
    </row>
    <row r="38" spans="1:31" ht="30">
      <c r="A38" s="1319">
        <v>35</v>
      </c>
      <c r="B38" s="1328"/>
      <c r="C38" s="1326" t="s">
        <v>1551</v>
      </c>
      <c r="D38" s="1273">
        <v>0</v>
      </c>
      <c r="E38" s="1276">
        <v>0</v>
      </c>
      <c r="F38" s="1275">
        <v>0</v>
      </c>
      <c r="G38" s="1275"/>
      <c r="H38" s="1275"/>
      <c r="I38" s="1273">
        <f t="shared" si="6"/>
        <v>0</v>
      </c>
      <c r="J38" s="1276">
        <v>1000</v>
      </c>
      <c r="K38" s="1273">
        <f t="shared" si="12"/>
        <v>174.24206377661633</v>
      </c>
      <c r="L38" s="1273">
        <f t="shared" si="10"/>
        <v>1174.2420637766163</v>
      </c>
      <c r="M38" s="1276">
        <v>0</v>
      </c>
      <c r="N38" s="1273">
        <f t="shared" si="2"/>
        <v>1174.2420637766163</v>
      </c>
      <c r="O38" s="1276">
        <v>858</v>
      </c>
      <c r="P38" s="1273">
        <f t="shared" si="11"/>
        <v>2032.2420637766163</v>
      </c>
      <c r="Q38" s="1273">
        <f t="shared" si="9"/>
        <v>0</v>
      </c>
      <c r="R38" s="1326"/>
      <c r="S38" s="1280"/>
    </row>
    <row r="39" spans="1:31" ht="30">
      <c r="A39" s="1319">
        <v>36</v>
      </c>
      <c r="B39" s="1328"/>
      <c r="C39" s="1326" t="s">
        <v>1552</v>
      </c>
      <c r="D39" s="1273">
        <v>0</v>
      </c>
      <c r="E39" s="1276">
        <v>0</v>
      </c>
      <c r="F39" s="1275">
        <v>0</v>
      </c>
      <c r="G39" s="1275"/>
      <c r="H39" s="1275"/>
      <c r="I39" s="1273">
        <f t="shared" si="6"/>
        <v>0</v>
      </c>
      <c r="J39" s="1276">
        <v>892</v>
      </c>
      <c r="K39" s="1273">
        <f t="shared" si="12"/>
        <v>155.42392088874178</v>
      </c>
      <c r="L39" s="1273">
        <f t="shared" si="10"/>
        <v>1047.4239208887418</v>
      </c>
      <c r="M39" s="1276">
        <v>0</v>
      </c>
      <c r="N39" s="1273">
        <f t="shared" si="2"/>
        <v>1047.4239208887418</v>
      </c>
      <c r="O39" s="1276">
        <v>223</v>
      </c>
      <c r="P39" s="1273">
        <f t="shared" si="11"/>
        <v>1270.4239208887418</v>
      </c>
      <c r="Q39" s="1273">
        <f t="shared" si="9"/>
        <v>0</v>
      </c>
      <c r="R39" s="1326"/>
      <c r="S39" s="1280"/>
    </row>
    <row r="40" spans="1:31" ht="30">
      <c r="A40" s="1319">
        <v>37</v>
      </c>
      <c r="B40" s="1284" t="s">
        <v>1554</v>
      </c>
      <c r="C40" s="1326" t="s">
        <v>1555</v>
      </c>
      <c r="D40" s="1273">
        <v>0</v>
      </c>
      <c r="E40" s="1276">
        <v>0</v>
      </c>
      <c r="F40" s="1275">
        <v>0</v>
      </c>
      <c r="G40" s="1275"/>
      <c r="H40" s="1275"/>
      <c r="I40" s="1273">
        <f t="shared" si="6"/>
        <v>0</v>
      </c>
      <c r="J40" s="1276">
        <v>500</v>
      </c>
      <c r="K40" s="1273">
        <f t="shared" si="12"/>
        <v>87.121031888308167</v>
      </c>
      <c r="L40" s="1273">
        <f t="shared" si="10"/>
        <v>587.12103188830815</v>
      </c>
      <c r="M40" s="1276">
        <v>0</v>
      </c>
      <c r="N40" s="1273">
        <f t="shared" si="2"/>
        <v>587.12103188830815</v>
      </c>
      <c r="O40" s="1276">
        <v>1165</v>
      </c>
      <c r="P40" s="1273">
        <f t="shared" si="11"/>
        <v>1752.1210318883082</v>
      </c>
      <c r="Q40" s="1273">
        <f t="shared" si="9"/>
        <v>0</v>
      </c>
      <c r="R40" s="1326"/>
      <c r="S40" s="1280"/>
    </row>
    <row r="41" spans="1:31" ht="30">
      <c r="A41" s="1319">
        <v>38</v>
      </c>
      <c r="B41" s="1284" t="s">
        <v>1556</v>
      </c>
      <c r="C41" s="1326" t="s">
        <v>1557</v>
      </c>
      <c r="D41" s="1273">
        <v>0</v>
      </c>
      <c r="E41" s="1276">
        <v>2.2599999999999998</v>
      </c>
      <c r="F41" s="1275">
        <v>0</v>
      </c>
      <c r="G41" s="1275"/>
      <c r="H41" s="1275"/>
      <c r="I41" s="1273">
        <f t="shared" si="6"/>
        <v>2.2599999999999998</v>
      </c>
      <c r="J41" s="1276">
        <v>300</v>
      </c>
      <c r="K41" s="1273">
        <f t="shared" si="12"/>
        <v>52.2726191329849</v>
      </c>
      <c r="L41" s="1273">
        <f t="shared" si="10"/>
        <v>352.27261913298491</v>
      </c>
      <c r="M41" s="1276">
        <v>0</v>
      </c>
      <c r="N41" s="1273">
        <f t="shared" ref="N41:N63" si="13">I41+L41-M41</f>
        <v>354.53261913298491</v>
      </c>
      <c r="O41" s="1276">
        <v>106.74</v>
      </c>
      <c r="P41" s="1273">
        <f t="shared" ref="P41:P59" si="14">N41+O41</f>
        <v>461.27261913298491</v>
      </c>
      <c r="Q41" s="1273">
        <f t="shared" si="9"/>
        <v>0</v>
      </c>
      <c r="R41" s="1326"/>
      <c r="S41" s="1280"/>
    </row>
    <row r="42" spans="1:31" ht="30">
      <c r="A42" s="1319">
        <v>39</v>
      </c>
      <c r="B42" s="1284" t="s">
        <v>1558</v>
      </c>
      <c r="C42" s="1326" t="s">
        <v>1559</v>
      </c>
      <c r="D42" s="1273">
        <v>0</v>
      </c>
      <c r="E42" s="1276">
        <v>17.16</v>
      </c>
      <c r="F42" s="1275">
        <v>0</v>
      </c>
      <c r="G42" s="1275"/>
      <c r="H42" s="1275"/>
      <c r="I42" s="1273">
        <f t="shared" si="6"/>
        <v>17.16</v>
      </c>
      <c r="J42" s="1273">
        <v>350</v>
      </c>
      <c r="K42" s="1273">
        <f t="shared" si="12"/>
        <v>60.984722321815717</v>
      </c>
      <c r="L42" s="1273">
        <f t="shared" si="10"/>
        <v>410.9847223218157</v>
      </c>
      <c r="M42" s="1276">
        <v>0</v>
      </c>
      <c r="N42" s="1273">
        <f t="shared" si="13"/>
        <v>428.14472232181572</v>
      </c>
      <c r="O42" s="1273">
        <v>82.84</v>
      </c>
      <c r="P42" s="1273">
        <f t="shared" si="14"/>
        <v>510.98472232181575</v>
      </c>
      <c r="Q42" s="1273">
        <f t="shared" si="9"/>
        <v>0</v>
      </c>
      <c r="R42" s="1326"/>
      <c r="S42" s="1280"/>
    </row>
    <row r="43" spans="1:31" ht="30">
      <c r="A43" s="1319">
        <v>40</v>
      </c>
      <c r="B43" s="1284" t="s">
        <v>1561</v>
      </c>
      <c r="C43" s="1326" t="s">
        <v>1562</v>
      </c>
      <c r="D43" s="1273">
        <v>0</v>
      </c>
      <c r="E43" s="1276">
        <v>0.02</v>
      </c>
      <c r="F43" s="1275">
        <v>0</v>
      </c>
      <c r="G43" s="1275"/>
      <c r="H43" s="1275"/>
      <c r="I43" s="1273">
        <f t="shared" si="6"/>
        <v>0.02</v>
      </c>
      <c r="J43" s="1273">
        <v>200</v>
      </c>
      <c r="K43" s="1273">
        <f t="shared" si="12"/>
        <v>34.848412755323267</v>
      </c>
      <c r="L43" s="1273">
        <f t="shared" si="10"/>
        <v>234.84841275532327</v>
      </c>
      <c r="M43" s="1276">
        <v>0</v>
      </c>
      <c r="N43" s="1273">
        <f t="shared" si="13"/>
        <v>234.86841275532328</v>
      </c>
      <c r="O43" s="1273">
        <v>14.98</v>
      </c>
      <c r="P43" s="1273">
        <f t="shared" si="14"/>
        <v>249.84841275532327</v>
      </c>
      <c r="Q43" s="1273">
        <f t="shared" si="9"/>
        <v>0</v>
      </c>
      <c r="R43" s="1326"/>
      <c r="S43" s="1280"/>
    </row>
    <row r="44" spans="1:31" ht="30">
      <c r="A44" s="1319">
        <v>41</v>
      </c>
      <c r="B44" s="1284" t="s">
        <v>1563</v>
      </c>
      <c r="C44" s="1326" t="s">
        <v>1564</v>
      </c>
      <c r="D44" s="1273">
        <v>0</v>
      </c>
      <c r="E44" s="1276">
        <v>0.1</v>
      </c>
      <c r="F44" s="1275">
        <v>0</v>
      </c>
      <c r="G44" s="1275"/>
      <c r="H44" s="1275"/>
      <c r="I44" s="1273">
        <f t="shared" si="6"/>
        <v>0.1</v>
      </c>
      <c r="J44" s="1276">
        <v>185.9</v>
      </c>
      <c r="K44" s="1273">
        <f t="shared" si="12"/>
        <v>32.391599656072977</v>
      </c>
      <c r="L44" s="1273">
        <f t="shared" si="10"/>
        <v>218.29159965607298</v>
      </c>
      <c r="M44" s="1276">
        <f>I44+L44</f>
        <v>218.39159965607297</v>
      </c>
      <c r="N44" s="1273">
        <f t="shared" si="13"/>
        <v>0</v>
      </c>
      <c r="O44" s="1276">
        <v>0</v>
      </c>
      <c r="P44" s="1276"/>
      <c r="Q44" s="1273">
        <f t="shared" si="9"/>
        <v>0</v>
      </c>
      <c r="R44" s="1326"/>
      <c r="S44" s="1280"/>
    </row>
    <row r="45" spans="1:31" ht="30">
      <c r="A45" s="1319">
        <v>42</v>
      </c>
      <c r="B45" s="1284" t="s">
        <v>1565</v>
      </c>
      <c r="C45" s="1326" t="s">
        <v>1566</v>
      </c>
      <c r="D45" s="1273">
        <v>0</v>
      </c>
      <c r="E45" s="1276">
        <v>0</v>
      </c>
      <c r="F45" s="1275">
        <v>0</v>
      </c>
      <c r="G45" s="1275"/>
      <c r="H45" s="1275"/>
      <c r="I45" s="1273">
        <f t="shared" si="6"/>
        <v>0</v>
      </c>
      <c r="J45" s="1276">
        <v>186</v>
      </c>
      <c r="K45" s="1273">
        <f t="shared" si="12"/>
        <v>32.409023862450638</v>
      </c>
      <c r="L45" s="1273">
        <f t="shared" si="10"/>
        <v>218.40902386245062</v>
      </c>
      <c r="M45" s="1276">
        <v>0</v>
      </c>
      <c r="N45" s="1273">
        <f t="shared" si="13"/>
        <v>218.40902386245062</v>
      </c>
      <c r="O45" s="1276">
        <v>186</v>
      </c>
      <c r="P45" s="1273">
        <f t="shared" si="14"/>
        <v>404.40902386245062</v>
      </c>
      <c r="Q45" s="1273">
        <f t="shared" si="9"/>
        <v>0</v>
      </c>
      <c r="R45" s="1326"/>
      <c r="S45" s="1280"/>
    </row>
    <row r="46" spans="1:31" ht="30">
      <c r="A46" s="1319">
        <v>43</v>
      </c>
      <c r="B46" s="1284" t="s">
        <v>1567</v>
      </c>
      <c r="C46" s="1326" t="s">
        <v>1568</v>
      </c>
      <c r="D46" s="1273">
        <v>0</v>
      </c>
      <c r="E46" s="1276">
        <v>0</v>
      </c>
      <c r="F46" s="1275">
        <v>0</v>
      </c>
      <c r="G46" s="1275"/>
      <c r="H46" s="1275"/>
      <c r="I46" s="1273">
        <f t="shared" ref="I46:I61" si="15">D46+E46-F46</f>
        <v>0</v>
      </c>
      <c r="J46" s="1276">
        <v>50</v>
      </c>
      <c r="K46" s="1273">
        <f t="shared" si="12"/>
        <v>8.7121031888308167</v>
      </c>
      <c r="L46" s="1273">
        <f t="shared" si="10"/>
        <v>58.712103188830817</v>
      </c>
      <c r="M46" s="1276">
        <v>0</v>
      </c>
      <c r="N46" s="1273">
        <f t="shared" si="13"/>
        <v>58.712103188830817</v>
      </c>
      <c r="O46" s="1276">
        <v>60</v>
      </c>
      <c r="P46" s="1273">
        <f t="shared" si="14"/>
        <v>118.71210318883081</v>
      </c>
      <c r="Q46" s="1273">
        <f t="shared" ref="Q46:Q61" si="16">N46+O46-P46</f>
        <v>0</v>
      </c>
      <c r="R46" s="1326" t="s">
        <v>1548</v>
      </c>
      <c r="S46" s="1280"/>
      <c r="U46" s="1279" t="e">
        <f>#REF!</f>
        <v>#REF!</v>
      </c>
      <c r="V46" s="1279">
        <f t="shared" ref="V46:V64" si="17">SUM(E46:O46)</f>
        <v>236.13630956649246</v>
      </c>
      <c r="X46" s="1279" t="e">
        <f t="shared" ref="X46:X64" si="18">U46-V46</f>
        <v>#REF!</v>
      </c>
      <c r="AB46" s="1279">
        <f t="shared" ref="AB46:AB53" si="19">SUM(J46:O46)</f>
        <v>236.13630956649246</v>
      </c>
      <c r="AE46" s="1279">
        <v>110</v>
      </c>
    </row>
    <row r="47" spans="1:31" ht="30">
      <c r="A47" s="1319">
        <v>44</v>
      </c>
      <c r="B47" s="1284" t="s">
        <v>1569</v>
      </c>
      <c r="C47" s="1326" t="s">
        <v>1570</v>
      </c>
      <c r="D47" s="1273">
        <v>0</v>
      </c>
      <c r="E47" s="1276">
        <v>0</v>
      </c>
      <c r="F47" s="1275">
        <v>0</v>
      </c>
      <c r="G47" s="1275"/>
      <c r="H47" s="1275"/>
      <c r="I47" s="1273">
        <f t="shared" si="15"/>
        <v>0</v>
      </c>
      <c r="J47" s="1273">
        <v>40</v>
      </c>
      <c r="K47" s="1273">
        <f t="shared" si="12"/>
        <v>6.9696825510646532</v>
      </c>
      <c r="L47" s="1273">
        <f t="shared" si="10"/>
        <v>46.969682551064651</v>
      </c>
      <c r="M47" s="1276">
        <v>0</v>
      </c>
      <c r="N47" s="1273">
        <f t="shared" si="13"/>
        <v>46.969682551064651</v>
      </c>
      <c r="O47" s="1273">
        <v>53</v>
      </c>
      <c r="P47" s="1273">
        <f t="shared" si="14"/>
        <v>99.969682551064651</v>
      </c>
      <c r="Q47" s="1273">
        <f t="shared" si="16"/>
        <v>0</v>
      </c>
      <c r="R47" s="1326" t="s">
        <v>1560</v>
      </c>
      <c r="S47" s="1280"/>
      <c r="U47" s="1279" t="e">
        <f>#REF!</f>
        <v>#REF!</v>
      </c>
      <c r="V47" s="1279">
        <f t="shared" si="17"/>
        <v>193.90904765319397</v>
      </c>
      <c r="X47" s="1279" t="e">
        <f t="shared" si="18"/>
        <v>#REF!</v>
      </c>
      <c r="AB47" s="1279">
        <f t="shared" si="19"/>
        <v>193.90904765319397</v>
      </c>
      <c r="AE47" s="1279">
        <v>93</v>
      </c>
    </row>
    <row r="48" spans="1:31" ht="45">
      <c r="A48" s="1319">
        <v>45</v>
      </c>
      <c r="B48" s="1284" t="s">
        <v>1571</v>
      </c>
      <c r="C48" s="1326" t="s">
        <v>1572</v>
      </c>
      <c r="D48" s="1273">
        <v>0</v>
      </c>
      <c r="E48" s="1276">
        <v>0</v>
      </c>
      <c r="F48" s="1275">
        <v>0</v>
      </c>
      <c r="G48" s="1275"/>
      <c r="H48" s="1275"/>
      <c r="I48" s="1273">
        <f t="shared" si="15"/>
        <v>0</v>
      </c>
      <c r="J48" s="1273">
        <v>30</v>
      </c>
      <c r="K48" s="1273">
        <f t="shared" si="12"/>
        <v>5.2272619132984905</v>
      </c>
      <c r="L48" s="1273">
        <f t="shared" si="10"/>
        <v>35.227261913298491</v>
      </c>
      <c r="M48" s="1276">
        <v>0</v>
      </c>
      <c r="N48" s="1273">
        <f t="shared" si="13"/>
        <v>35.227261913298491</v>
      </c>
      <c r="O48" s="1273">
        <v>30</v>
      </c>
      <c r="P48" s="1273">
        <f t="shared" si="14"/>
        <v>65.227261913298491</v>
      </c>
      <c r="Q48" s="1273">
        <f t="shared" si="16"/>
        <v>0</v>
      </c>
      <c r="R48" s="1326" t="s">
        <v>1573</v>
      </c>
      <c r="S48" s="1280"/>
      <c r="U48" s="1279" t="e">
        <f>#REF!</f>
        <v>#REF!</v>
      </c>
      <c r="V48" s="1279">
        <f t="shared" si="17"/>
        <v>135.68178573989547</v>
      </c>
      <c r="X48" s="1279" t="e">
        <f t="shared" si="18"/>
        <v>#REF!</v>
      </c>
      <c r="AB48" s="1279">
        <f t="shared" si="19"/>
        <v>135.68178573989547</v>
      </c>
      <c r="AE48" s="1279">
        <v>60</v>
      </c>
    </row>
    <row r="49" spans="1:31" ht="30">
      <c r="A49" s="1319">
        <v>46</v>
      </c>
      <c r="B49" s="1284" t="s">
        <v>1574</v>
      </c>
      <c r="C49" s="1326" t="s">
        <v>1575</v>
      </c>
      <c r="D49" s="1273">
        <v>0</v>
      </c>
      <c r="E49" s="1276">
        <v>0</v>
      </c>
      <c r="F49" s="1275">
        <v>0</v>
      </c>
      <c r="G49" s="1275"/>
      <c r="H49" s="1275"/>
      <c r="I49" s="1273">
        <f t="shared" si="15"/>
        <v>0</v>
      </c>
      <c r="J49" s="1273">
        <v>300</v>
      </c>
      <c r="K49" s="1273">
        <f t="shared" si="12"/>
        <v>52.2726191329849</v>
      </c>
      <c r="L49" s="1273">
        <f t="shared" si="10"/>
        <v>352.27261913298491</v>
      </c>
      <c r="M49" s="1276">
        <v>0</v>
      </c>
      <c r="N49" s="1273">
        <f t="shared" si="13"/>
        <v>352.27261913298491</v>
      </c>
      <c r="O49" s="1273">
        <v>1136</v>
      </c>
      <c r="P49" s="1273">
        <f t="shared" si="14"/>
        <v>1488.2726191329848</v>
      </c>
      <c r="Q49" s="1273">
        <f t="shared" si="16"/>
        <v>0</v>
      </c>
      <c r="R49" s="1326" t="s">
        <v>1576</v>
      </c>
      <c r="S49" s="1280"/>
      <c r="U49" s="1279" t="e">
        <f>#REF!</f>
        <v>#REF!</v>
      </c>
      <c r="V49" s="1279">
        <f t="shared" si="17"/>
        <v>2192.8178573989549</v>
      </c>
      <c r="X49" s="1279" t="e">
        <f t="shared" si="18"/>
        <v>#REF!</v>
      </c>
      <c r="AB49" s="1279">
        <f t="shared" si="19"/>
        <v>2192.8178573989549</v>
      </c>
      <c r="AE49" s="1279">
        <v>1436</v>
      </c>
    </row>
    <row r="50" spans="1:31" ht="30">
      <c r="A50" s="1319">
        <v>47</v>
      </c>
      <c r="B50" s="1284" t="s">
        <v>1577</v>
      </c>
      <c r="C50" s="1326" t="s">
        <v>1578</v>
      </c>
      <c r="D50" s="1273">
        <v>0</v>
      </c>
      <c r="E50" s="1276">
        <v>0</v>
      </c>
      <c r="F50" s="1275">
        <v>0</v>
      </c>
      <c r="G50" s="1275"/>
      <c r="H50" s="1275"/>
      <c r="I50" s="1273">
        <f t="shared" si="15"/>
        <v>0</v>
      </c>
      <c r="J50" s="1276">
        <v>450</v>
      </c>
      <c r="K50" s="1273">
        <f t="shared" si="12"/>
        <v>78.408928699477357</v>
      </c>
      <c r="L50" s="1273">
        <f t="shared" si="10"/>
        <v>528.40892869947731</v>
      </c>
      <c r="M50" s="1276">
        <v>0</v>
      </c>
      <c r="N50" s="1273">
        <f t="shared" si="13"/>
        <v>528.40892869947731</v>
      </c>
      <c r="O50" s="1273">
        <v>108</v>
      </c>
      <c r="P50" s="1273">
        <f t="shared" si="14"/>
        <v>636.40892869947731</v>
      </c>
      <c r="Q50" s="1273">
        <f t="shared" si="16"/>
        <v>0</v>
      </c>
      <c r="R50" s="1326" t="s">
        <v>1511</v>
      </c>
      <c r="S50" s="1280"/>
      <c r="U50" s="1279" t="e">
        <f>#REF!</f>
        <v>#REF!</v>
      </c>
      <c r="V50" s="1279">
        <f t="shared" si="17"/>
        <v>1693.2267860984321</v>
      </c>
      <c r="X50" s="1279" t="e">
        <f t="shared" si="18"/>
        <v>#REF!</v>
      </c>
      <c r="AB50" s="1279">
        <f t="shared" si="19"/>
        <v>1693.2267860984321</v>
      </c>
      <c r="AE50" s="1279">
        <v>558</v>
      </c>
    </row>
    <row r="51" spans="1:31" ht="30">
      <c r="A51" s="1319">
        <v>48</v>
      </c>
      <c r="B51" s="1283" t="s">
        <v>1579</v>
      </c>
      <c r="C51" s="1326" t="s">
        <v>1580</v>
      </c>
      <c r="D51" s="1273">
        <v>0</v>
      </c>
      <c r="E51" s="1273">
        <v>0</v>
      </c>
      <c r="F51" s="1275">
        <v>0</v>
      </c>
      <c r="G51" s="1275"/>
      <c r="H51" s="1275"/>
      <c r="I51" s="1273">
        <f t="shared" si="15"/>
        <v>0</v>
      </c>
      <c r="J51" s="1273">
        <v>1000</v>
      </c>
      <c r="K51" s="1273">
        <f t="shared" si="12"/>
        <v>174.24206377661633</v>
      </c>
      <c r="L51" s="1273">
        <f t="shared" si="10"/>
        <v>1174.2420637766163</v>
      </c>
      <c r="M51" s="1273">
        <v>0</v>
      </c>
      <c r="N51" s="1273">
        <f t="shared" si="13"/>
        <v>1174.2420637766163</v>
      </c>
      <c r="O51" s="1273">
        <v>115</v>
      </c>
      <c r="P51" s="1273">
        <f t="shared" si="14"/>
        <v>1289.2420637766163</v>
      </c>
      <c r="Q51" s="1273">
        <f t="shared" si="16"/>
        <v>0</v>
      </c>
      <c r="R51" s="1326" t="s">
        <v>1511</v>
      </c>
      <c r="S51" s="1280"/>
      <c r="U51" s="1279" t="e">
        <f>#REF!</f>
        <v>#REF!</v>
      </c>
      <c r="V51" s="1279">
        <f t="shared" si="17"/>
        <v>3637.7261913298489</v>
      </c>
      <c r="X51" s="1279" t="e">
        <f t="shared" si="18"/>
        <v>#REF!</v>
      </c>
      <c r="AB51" s="1279">
        <f t="shared" si="19"/>
        <v>3637.7261913298489</v>
      </c>
      <c r="AE51" s="1279">
        <v>1115</v>
      </c>
    </row>
    <row r="52" spans="1:31" ht="30">
      <c r="A52" s="1319">
        <v>49</v>
      </c>
      <c r="B52" s="1283" t="s">
        <v>1581</v>
      </c>
      <c r="C52" s="1326" t="s">
        <v>1582</v>
      </c>
      <c r="D52" s="1273">
        <v>0</v>
      </c>
      <c r="E52" s="1273">
        <v>0</v>
      </c>
      <c r="F52" s="1275">
        <v>0</v>
      </c>
      <c r="G52" s="1275"/>
      <c r="H52" s="1275"/>
      <c r="I52" s="1273">
        <f t="shared" si="15"/>
        <v>0</v>
      </c>
      <c r="J52" s="1273">
        <v>200</v>
      </c>
      <c r="K52" s="1273">
        <f t="shared" si="12"/>
        <v>34.848412755323267</v>
      </c>
      <c r="L52" s="1273">
        <f t="shared" si="10"/>
        <v>234.84841275532327</v>
      </c>
      <c r="M52" s="1273">
        <v>0</v>
      </c>
      <c r="N52" s="1273">
        <f t="shared" si="13"/>
        <v>234.84841275532327</v>
      </c>
      <c r="O52" s="1273">
        <v>40.299999999999997</v>
      </c>
      <c r="P52" s="1273">
        <f t="shared" si="14"/>
        <v>275.14841275532325</v>
      </c>
      <c r="Q52" s="1273">
        <f t="shared" si="16"/>
        <v>0</v>
      </c>
      <c r="R52" s="1326" t="s">
        <v>1511</v>
      </c>
      <c r="S52" s="1280"/>
      <c r="U52" s="1279" t="e">
        <f>#REF!</f>
        <v>#REF!</v>
      </c>
      <c r="V52" s="1279">
        <f t="shared" si="17"/>
        <v>744.84523826596978</v>
      </c>
      <c r="X52" s="1279" t="e">
        <f t="shared" si="18"/>
        <v>#REF!</v>
      </c>
      <c r="AB52" s="1279">
        <f t="shared" si="19"/>
        <v>744.84523826596978</v>
      </c>
      <c r="AE52" s="1279">
        <v>240.3</v>
      </c>
    </row>
    <row r="53" spans="1:31" ht="30">
      <c r="A53" s="1319">
        <v>50</v>
      </c>
      <c r="B53" s="1284" t="s">
        <v>1583</v>
      </c>
      <c r="C53" s="1326" t="s">
        <v>1584</v>
      </c>
      <c r="D53" s="1273">
        <v>0</v>
      </c>
      <c r="E53" s="1276">
        <v>0</v>
      </c>
      <c r="F53" s="1275">
        <v>0</v>
      </c>
      <c r="G53" s="1275"/>
      <c r="H53" s="1275"/>
      <c r="I53" s="1273">
        <f t="shared" si="15"/>
        <v>0</v>
      </c>
      <c r="J53" s="1273">
        <v>215</v>
      </c>
      <c r="K53" s="1273">
        <f t="shared" si="12"/>
        <v>37.462043711972512</v>
      </c>
      <c r="L53" s="1273">
        <f t="shared" si="10"/>
        <v>252.46204371197251</v>
      </c>
      <c r="M53" s="1276">
        <v>0</v>
      </c>
      <c r="N53" s="1273">
        <f t="shared" si="13"/>
        <v>252.46204371197251</v>
      </c>
      <c r="O53" s="1273">
        <v>215</v>
      </c>
      <c r="P53" s="1273">
        <f t="shared" si="14"/>
        <v>467.46204371197251</v>
      </c>
      <c r="Q53" s="1273">
        <f t="shared" si="16"/>
        <v>0</v>
      </c>
      <c r="R53" s="1326" t="s">
        <v>1585</v>
      </c>
      <c r="S53" s="1280"/>
      <c r="U53" s="1279" t="e">
        <f>#REF!</f>
        <v>#REF!</v>
      </c>
      <c r="V53" s="1279">
        <f t="shared" si="17"/>
        <v>972.38613113591759</v>
      </c>
      <c r="X53" s="1279" t="e">
        <f t="shared" si="18"/>
        <v>#REF!</v>
      </c>
      <c r="AB53" s="1279">
        <f t="shared" si="19"/>
        <v>972.38613113591759</v>
      </c>
      <c r="AE53" s="1279">
        <v>430</v>
      </c>
    </row>
    <row r="54" spans="1:31" ht="30">
      <c r="A54" s="1319">
        <v>51</v>
      </c>
      <c r="B54" s="1284" t="s">
        <v>1586</v>
      </c>
      <c r="C54" s="1326" t="s">
        <v>1587</v>
      </c>
      <c r="D54" s="1273">
        <v>0</v>
      </c>
      <c r="E54" s="1276">
        <v>2.52</v>
      </c>
      <c r="F54" s="1275">
        <v>0</v>
      </c>
      <c r="G54" s="1275"/>
      <c r="H54" s="1275"/>
      <c r="I54" s="1273">
        <f t="shared" si="15"/>
        <v>2.52</v>
      </c>
      <c r="J54" s="1273">
        <v>300</v>
      </c>
      <c r="K54" s="1273">
        <f t="shared" si="12"/>
        <v>52.2726191329849</v>
      </c>
      <c r="L54" s="1273">
        <f t="shared" si="10"/>
        <v>352.27261913298491</v>
      </c>
      <c r="M54" s="1276">
        <v>0</v>
      </c>
      <c r="N54" s="1273">
        <f t="shared" si="13"/>
        <v>354.7926191329849</v>
      </c>
      <c r="O54" s="1273">
        <v>376.88</v>
      </c>
      <c r="P54" s="1273">
        <f t="shared" si="14"/>
        <v>731.67261913298489</v>
      </c>
      <c r="Q54" s="1273">
        <f t="shared" si="16"/>
        <v>0</v>
      </c>
      <c r="R54" s="1326"/>
      <c r="S54" s="1280"/>
      <c r="U54" s="1279" t="e">
        <f>#REF!</f>
        <v>#REF!</v>
      </c>
      <c r="V54" s="1279">
        <f t="shared" si="17"/>
        <v>1441.2578573989549</v>
      </c>
      <c r="X54" s="1279" t="e">
        <f t="shared" si="18"/>
        <v>#REF!</v>
      </c>
      <c r="AB54" s="1279">
        <f>SUM(E54:O54)</f>
        <v>1441.2578573989549</v>
      </c>
      <c r="AE54" s="1279">
        <v>679.4</v>
      </c>
    </row>
    <row r="55" spans="1:31" ht="30">
      <c r="A55" s="1319">
        <v>52</v>
      </c>
      <c r="B55" s="1284"/>
      <c r="C55" s="1326" t="s">
        <v>1588</v>
      </c>
      <c r="D55" s="1273">
        <v>0</v>
      </c>
      <c r="E55" s="1276">
        <v>0.01</v>
      </c>
      <c r="F55" s="1275">
        <v>0</v>
      </c>
      <c r="G55" s="1275"/>
      <c r="H55" s="1275"/>
      <c r="I55" s="1273">
        <f t="shared" si="15"/>
        <v>0.01</v>
      </c>
      <c r="J55" s="1273">
        <v>300</v>
      </c>
      <c r="K55" s="1273">
        <f t="shared" si="12"/>
        <v>52.2726191329849</v>
      </c>
      <c r="L55" s="1273">
        <f t="shared" si="10"/>
        <v>352.27261913298491</v>
      </c>
      <c r="M55" s="1276">
        <v>0</v>
      </c>
      <c r="N55" s="1273">
        <f t="shared" si="13"/>
        <v>352.28261913298491</v>
      </c>
      <c r="O55" s="1273">
        <v>115.99</v>
      </c>
      <c r="P55" s="1273">
        <f t="shared" si="14"/>
        <v>468.27261913298491</v>
      </c>
      <c r="Q55" s="1273">
        <f t="shared" si="16"/>
        <v>0</v>
      </c>
      <c r="R55" s="1326"/>
      <c r="S55" s="1280"/>
      <c r="U55" s="1279" t="e">
        <f>#REF!</f>
        <v>#REF!</v>
      </c>
      <c r="V55" s="1279">
        <f t="shared" si="17"/>
        <v>1172.8378573989546</v>
      </c>
      <c r="X55" s="1279" t="e">
        <f t="shared" si="18"/>
        <v>#REF!</v>
      </c>
      <c r="AB55" s="1279">
        <f>SUM(E55:O55)</f>
        <v>1172.8378573989546</v>
      </c>
      <c r="AE55" s="1279">
        <v>416</v>
      </c>
    </row>
    <row r="56" spans="1:31" ht="30">
      <c r="A56" s="1319">
        <v>53</v>
      </c>
      <c r="B56" s="1284" t="s">
        <v>1589</v>
      </c>
      <c r="C56" s="1326" t="s">
        <v>1590</v>
      </c>
      <c r="D56" s="1273">
        <v>0</v>
      </c>
      <c r="E56" s="1276">
        <v>0</v>
      </c>
      <c r="F56" s="1275">
        <v>0</v>
      </c>
      <c r="G56" s="1275"/>
      <c r="H56" s="1275"/>
      <c r="I56" s="1273">
        <f t="shared" si="15"/>
        <v>0</v>
      </c>
      <c r="J56" s="1273">
        <v>0</v>
      </c>
      <c r="K56" s="1273">
        <f t="shared" si="12"/>
        <v>0</v>
      </c>
      <c r="L56" s="1273">
        <f t="shared" si="10"/>
        <v>0</v>
      </c>
      <c r="M56" s="1276">
        <v>0</v>
      </c>
      <c r="N56" s="1273">
        <f t="shared" si="13"/>
        <v>0</v>
      </c>
      <c r="O56" s="1273">
        <v>1859</v>
      </c>
      <c r="P56" s="1273">
        <f t="shared" si="14"/>
        <v>1859</v>
      </c>
      <c r="Q56" s="1273">
        <f t="shared" si="16"/>
        <v>0</v>
      </c>
      <c r="R56" s="1326"/>
      <c r="S56" s="1280"/>
      <c r="U56" s="1279" t="e">
        <f>#REF!</f>
        <v>#REF!</v>
      </c>
      <c r="V56" s="1279">
        <f t="shared" si="17"/>
        <v>1859</v>
      </c>
      <c r="X56" s="1279" t="e">
        <f t="shared" si="18"/>
        <v>#REF!</v>
      </c>
      <c r="AB56" s="1279">
        <f>SUM(J56:O56)</f>
        <v>1859</v>
      </c>
      <c r="AE56" s="1279">
        <v>1859</v>
      </c>
    </row>
    <row r="57" spans="1:31" ht="30">
      <c r="A57" s="1319">
        <v>54</v>
      </c>
      <c r="B57" s="1284" t="s">
        <v>1591</v>
      </c>
      <c r="C57" s="1326" t="s">
        <v>1592</v>
      </c>
      <c r="D57" s="1273">
        <v>0</v>
      </c>
      <c r="E57" s="1276">
        <v>0</v>
      </c>
      <c r="F57" s="1275">
        <v>0</v>
      </c>
      <c r="G57" s="1275"/>
      <c r="H57" s="1275"/>
      <c r="I57" s="1273">
        <f t="shared" si="15"/>
        <v>0</v>
      </c>
      <c r="J57" s="1273">
        <v>0</v>
      </c>
      <c r="K57" s="1273">
        <f t="shared" si="12"/>
        <v>0</v>
      </c>
      <c r="L57" s="1273">
        <f t="shared" si="10"/>
        <v>0</v>
      </c>
      <c r="M57" s="1276">
        <v>0</v>
      </c>
      <c r="N57" s="1273">
        <f t="shared" si="13"/>
        <v>0</v>
      </c>
      <c r="O57" s="1273">
        <v>743</v>
      </c>
      <c r="P57" s="1273">
        <f t="shared" si="14"/>
        <v>743</v>
      </c>
      <c r="Q57" s="1273">
        <f t="shared" si="16"/>
        <v>0</v>
      </c>
      <c r="R57" s="1326"/>
      <c r="S57" s="1280"/>
      <c r="U57" s="1279" t="e">
        <f>#REF!</f>
        <v>#REF!</v>
      </c>
      <c r="V57" s="1279">
        <f t="shared" si="17"/>
        <v>743</v>
      </c>
      <c r="X57" s="1279" t="e">
        <f t="shared" si="18"/>
        <v>#REF!</v>
      </c>
      <c r="AB57" s="1279">
        <f>SUM(J57:O57)</f>
        <v>743</v>
      </c>
      <c r="AE57" s="1279">
        <v>743</v>
      </c>
    </row>
    <row r="58" spans="1:31" ht="30">
      <c r="A58" s="1319">
        <v>55</v>
      </c>
      <c r="B58" s="1284">
        <v>12</v>
      </c>
      <c r="C58" s="1326" t="s">
        <v>1593</v>
      </c>
      <c r="D58" s="1273">
        <v>0</v>
      </c>
      <c r="E58" s="1276">
        <v>0</v>
      </c>
      <c r="F58" s="1275">
        <v>0</v>
      </c>
      <c r="G58" s="1275"/>
      <c r="H58" s="1275"/>
      <c r="I58" s="1273">
        <f t="shared" si="15"/>
        <v>0</v>
      </c>
      <c r="J58" s="1273">
        <v>15</v>
      </c>
      <c r="K58" s="1273">
        <f t="shared" si="12"/>
        <v>2.6136309566492453</v>
      </c>
      <c r="L58" s="1273">
        <f t="shared" si="10"/>
        <v>17.613630956649246</v>
      </c>
      <c r="M58" s="1276">
        <v>0</v>
      </c>
      <c r="N58" s="1273">
        <f t="shared" si="13"/>
        <v>17.613630956649246</v>
      </c>
      <c r="O58" s="1273">
        <v>25.3</v>
      </c>
      <c r="P58" s="1273">
        <f t="shared" si="14"/>
        <v>42.913630956649243</v>
      </c>
      <c r="Q58" s="1273">
        <f t="shared" si="16"/>
        <v>0</v>
      </c>
      <c r="R58" s="1326"/>
      <c r="S58" s="1280"/>
      <c r="U58" s="1279" t="e">
        <f>#REF!</f>
        <v>#REF!</v>
      </c>
      <c r="V58" s="1279">
        <f t="shared" si="17"/>
        <v>78.140892869947734</v>
      </c>
      <c r="X58" s="1279" t="e">
        <f t="shared" si="18"/>
        <v>#REF!</v>
      </c>
      <c r="AB58" s="1279">
        <f>SUM(J58:O58)</f>
        <v>78.140892869947734</v>
      </c>
      <c r="AE58" s="1279">
        <v>40.299999999999997</v>
      </c>
    </row>
    <row r="59" spans="1:31" ht="30">
      <c r="A59" s="1319">
        <v>56</v>
      </c>
      <c r="B59" s="1284">
        <v>12</v>
      </c>
      <c r="C59" s="1326" t="s">
        <v>1594</v>
      </c>
      <c r="D59" s="1273">
        <v>0</v>
      </c>
      <c r="E59" s="1276">
        <v>0</v>
      </c>
      <c r="F59" s="1275">
        <v>0</v>
      </c>
      <c r="G59" s="1275"/>
      <c r="H59" s="1275"/>
      <c r="I59" s="1273">
        <f t="shared" si="15"/>
        <v>0</v>
      </c>
      <c r="J59" s="1273">
        <v>440</v>
      </c>
      <c r="K59" s="1273">
        <f t="shared" si="12"/>
        <v>76.666508061711184</v>
      </c>
      <c r="L59" s="1273">
        <f t="shared" si="10"/>
        <v>516.66650806171117</v>
      </c>
      <c r="M59" s="1276">
        <v>0</v>
      </c>
      <c r="N59" s="1273">
        <f t="shared" si="13"/>
        <v>516.66650806171117</v>
      </c>
      <c r="O59" s="1273">
        <v>1018</v>
      </c>
      <c r="P59" s="1273">
        <f t="shared" si="14"/>
        <v>1534.6665080617113</v>
      </c>
      <c r="Q59" s="1273">
        <f t="shared" si="16"/>
        <v>0</v>
      </c>
      <c r="R59" s="1326"/>
      <c r="S59" s="1280"/>
      <c r="U59" s="1279" t="e">
        <f>#REF!</f>
        <v>#REF!</v>
      </c>
      <c r="V59" s="1279">
        <f t="shared" si="17"/>
        <v>2567.9995241851334</v>
      </c>
      <c r="X59" s="1279" t="e">
        <f t="shared" si="18"/>
        <v>#REF!</v>
      </c>
      <c r="AB59" s="1279">
        <f>SUM(J59:O59)</f>
        <v>2567.9995241851334</v>
      </c>
      <c r="AE59" s="1279">
        <v>1458</v>
      </c>
    </row>
    <row r="60" spans="1:31" ht="30">
      <c r="A60" s="1319">
        <v>57</v>
      </c>
      <c r="B60" s="1284"/>
      <c r="C60" s="1326" t="s">
        <v>1595</v>
      </c>
      <c r="D60" s="1273">
        <v>0</v>
      </c>
      <c r="E60" s="1276">
        <v>0</v>
      </c>
      <c r="F60" s="1275">
        <v>0</v>
      </c>
      <c r="G60" s="1275"/>
      <c r="H60" s="1275"/>
      <c r="I60" s="1273">
        <f t="shared" si="15"/>
        <v>0</v>
      </c>
      <c r="J60" s="1273">
        <v>100</v>
      </c>
      <c r="K60" s="1273">
        <f t="shared" si="12"/>
        <v>17.424206377661633</v>
      </c>
      <c r="L60" s="1273">
        <f t="shared" si="10"/>
        <v>117.42420637766163</v>
      </c>
      <c r="M60" s="1276">
        <f>I60+L60</f>
        <v>117.42420637766163</v>
      </c>
      <c r="N60" s="1273">
        <f t="shared" si="13"/>
        <v>0</v>
      </c>
      <c r="O60" s="1273">
        <v>0</v>
      </c>
      <c r="P60" s="1273">
        <v>0</v>
      </c>
      <c r="Q60" s="1273">
        <f t="shared" si="16"/>
        <v>0</v>
      </c>
      <c r="R60" s="1326"/>
      <c r="S60" s="1280"/>
      <c r="U60" s="1279" t="e">
        <f>#REF!</f>
        <v>#REF!</v>
      </c>
      <c r="V60" s="1279">
        <f t="shared" si="17"/>
        <v>352.27261913298491</v>
      </c>
      <c r="X60" s="1279" t="e">
        <f t="shared" si="18"/>
        <v>#REF!</v>
      </c>
      <c r="AA60" s="1279">
        <f>J60</f>
        <v>100</v>
      </c>
      <c r="AB60" s="1279">
        <f>SUM(J60:O60)</f>
        <v>352.27261913298491</v>
      </c>
      <c r="AD60" s="1279">
        <v>100</v>
      </c>
    </row>
    <row r="61" spans="1:31" ht="30">
      <c r="A61" s="1319">
        <v>58</v>
      </c>
      <c r="B61" s="1284"/>
      <c r="C61" s="1326" t="s">
        <v>1596</v>
      </c>
      <c r="D61" s="1273">
        <v>0</v>
      </c>
      <c r="E61" s="1276">
        <v>0</v>
      </c>
      <c r="F61" s="1275">
        <v>0</v>
      </c>
      <c r="G61" s="1275"/>
      <c r="H61" s="1275"/>
      <c r="I61" s="1273">
        <f t="shared" si="15"/>
        <v>0</v>
      </c>
      <c r="J61" s="1273">
        <v>100</v>
      </c>
      <c r="K61" s="1273">
        <f t="shared" si="12"/>
        <v>17.424206377661633</v>
      </c>
      <c r="L61" s="1273">
        <f t="shared" si="10"/>
        <v>117.42420637766163</v>
      </c>
      <c r="M61" s="1276">
        <f>I61+L61</f>
        <v>117.42420637766163</v>
      </c>
      <c r="N61" s="1273">
        <f>I61+L61-M61</f>
        <v>0</v>
      </c>
      <c r="O61" s="1273">
        <v>0</v>
      </c>
      <c r="P61" s="1273">
        <v>0</v>
      </c>
      <c r="Q61" s="1273">
        <f t="shared" si="16"/>
        <v>0</v>
      </c>
      <c r="R61" s="1326"/>
      <c r="S61" s="1280"/>
      <c r="U61" s="1279" t="e">
        <f>#REF!</f>
        <v>#REF!</v>
      </c>
      <c r="V61" s="1279">
        <f t="shared" si="17"/>
        <v>352.27261913298491</v>
      </c>
      <c r="X61" s="1279" t="e">
        <f t="shared" si="18"/>
        <v>#REF!</v>
      </c>
      <c r="AA61" s="1279">
        <f>J61</f>
        <v>100</v>
      </c>
      <c r="AD61" s="1279">
        <v>100</v>
      </c>
    </row>
    <row r="62" spans="1:31" ht="30">
      <c r="A62" s="1319">
        <v>59</v>
      </c>
      <c r="B62" s="1285"/>
      <c r="C62" s="1286" t="s">
        <v>1602</v>
      </c>
      <c r="D62" s="1273">
        <v>0</v>
      </c>
      <c r="E62" s="1273">
        <v>0</v>
      </c>
      <c r="F62" s="1273">
        <v>0</v>
      </c>
      <c r="G62" s="1273"/>
      <c r="H62" s="1273"/>
      <c r="I62" s="1273">
        <f>D62+E62-F62</f>
        <v>0</v>
      </c>
      <c r="J62" s="1273">
        <v>115</v>
      </c>
      <c r="K62" s="1273">
        <f t="shared" si="12"/>
        <v>20.037837334310879</v>
      </c>
      <c r="L62" s="1273">
        <f t="shared" si="10"/>
        <v>135.03783733431089</v>
      </c>
      <c r="M62" s="1273">
        <v>0</v>
      </c>
      <c r="N62" s="1273">
        <f t="shared" si="13"/>
        <v>135.03783733431089</v>
      </c>
      <c r="O62" s="1273">
        <v>1000</v>
      </c>
      <c r="P62" s="1273">
        <f>N62+O62</f>
        <v>1135.037837334311</v>
      </c>
      <c r="Q62" s="1273">
        <f>N62+O62-P62</f>
        <v>0</v>
      </c>
      <c r="R62" s="1285"/>
      <c r="S62" s="1280"/>
      <c r="U62" s="1279" t="e">
        <f>#REF!</f>
        <v>#REF!</v>
      </c>
      <c r="V62" s="1279">
        <f t="shared" si="17"/>
        <v>1405.1135120029326</v>
      </c>
      <c r="X62" s="1279" t="e">
        <f t="shared" si="18"/>
        <v>#REF!</v>
      </c>
      <c r="AB62" s="1279">
        <f>SUM(J62:O62)</f>
        <v>1405.1135120029326</v>
      </c>
      <c r="AE62" s="1279">
        <v>1115</v>
      </c>
    </row>
    <row r="63" spans="1:31" ht="30">
      <c r="A63" s="1319">
        <v>60</v>
      </c>
      <c r="B63" s="1285"/>
      <c r="C63" s="1286" t="s">
        <v>1603</v>
      </c>
      <c r="D63" s="1273">
        <v>0</v>
      </c>
      <c r="E63" s="1273">
        <v>0</v>
      </c>
      <c r="F63" s="1273">
        <v>0</v>
      </c>
      <c r="G63" s="1273"/>
      <c r="H63" s="1273"/>
      <c r="I63" s="1273">
        <f>D63+E63-F63</f>
        <v>0</v>
      </c>
      <c r="J63" s="1273">
        <v>20</v>
      </c>
      <c r="K63" s="1273">
        <f t="shared" si="12"/>
        <v>3.4848412755323266</v>
      </c>
      <c r="L63" s="1273">
        <f t="shared" si="10"/>
        <v>23.484841275532325</v>
      </c>
      <c r="M63" s="1273">
        <v>0</v>
      </c>
      <c r="N63" s="1273">
        <f t="shared" si="13"/>
        <v>23.484841275532325</v>
      </c>
      <c r="O63" s="1273">
        <v>352</v>
      </c>
      <c r="P63" s="1273">
        <f>N63+O63</f>
        <v>375.48484127553235</v>
      </c>
      <c r="Q63" s="1273">
        <f>N63+O63-P63</f>
        <v>0</v>
      </c>
      <c r="R63" s="1285"/>
      <c r="S63" s="1280"/>
      <c r="U63" s="1279" t="e">
        <f>#REF!</f>
        <v>#REF!</v>
      </c>
      <c r="V63" s="1279">
        <f t="shared" si="17"/>
        <v>422.45452382659698</v>
      </c>
      <c r="X63" s="1279" t="e">
        <f t="shared" si="18"/>
        <v>#REF!</v>
      </c>
      <c r="AB63" s="1279">
        <f>SUM(J63:O63)</f>
        <v>422.45452382659698</v>
      </c>
      <c r="AE63" s="1279">
        <v>372</v>
      </c>
    </row>
    <row r="64" spans="1:31" s="1334" customFormat="1" ht="14.25">
      <c r="A64" s="1287"/>
      <c r="B64" s="1285"/>
      <c r="C64" s="1288"/>
      <c r="D64" s="1277">
        <f>SUM(D4:D63)</f>
        <v>5241.8700000000008</v>
      </c>
      <c r="E64" s="1277">
        <f>SUM(E4:E63)</f>
        <v>3916.4915874116805</v>
      </c>
      <c r="F64" s="1277">
        <f>SUM(F4:F63)</f>
        <v>3353.84</v>
      </c>
      <c r="G64" s="1277"/>
      <c r="H64" s="1277"/>
      <c r="I64" s="1277">
        <f>SUM(I4:I63)</f>
        <v>5804.521587411682</v>
      </c>
      <c r="J64" s="1277">
        <f t="shared" ref="J64:Q64" si="20">SUM(J4:J63)</f>
        <v>14602.269999999999</v>
      </c>
      <c r="K64" s="1277">
        <f>J64/J72*K72</f>
        <v>2544.3296606233712</v>
      </c>
      <c r="L64" s="1277">
        <f t="shared" si="20"/>
        <v>17146.599660623375</v>
      </c>
      <c r="M64" s="1277">
        <f t="shared" si="20"/>
        <v>8412.8559708667271</v>
      </c>
      <c r="N64" s="1277">
        <f t="shared" si="20"/>
        <v>14538.265277168322</v>
      </c>
      <c r="O64" s="1277">
        <f t="shared" si="20"/>
        <v>16201.879999999997</v>
      </c>
      <c r="P64" s="1277">
        <f t="shared" si="20"/>
        <v>29931.110467671875</v>
      </c>
      <c r="Q64" s="1277">
        <f t="shared" si="20"/>
        <v>809.03480949646064</v>
      </c>
      <c r="R64" s="1285"/>
      <c r="S64" s="1333"/>
      <c r="U64" s="1334" t="e">
        <f>#REF!</f>
        <v>#REF!</v>
      </c>
      <c r="V64" s="1334">
        <f t="shared" si="17"/>
        <v>86521.053744105157</v>
      </c>
      <c r="X64" s="1334" t="e">
        <f t="shared" si="18"/>
        <v>#REF!</v>
      </c>
      <c r="AA64" s="1334">
        <f>SUM(AA62:AA63)</f>
        <v>0</v>
      </c>
      <c r="AB64" s="1334">
        <f>SUM(AB62:AB63)</f>
        <v>1827.5680358295294</v>
      </c>
      <c r="AD64" s="1334">
        <v>0</v>
      </c>
      <c r="AE64" s="1334">
        <v>1487</v>
      </c>
    </row>
    <row r="65" spans="1:19">
      <c r="A65" s="1289"/>
      <c r="B65" s="2581" t="s">
        <v>1470</v>
      </c>
      <c r="C65" s="2581"/>
      <c r="D65" s="2581"/>
      <c r="E65" s="2581"/>
      <c r="F65" s="2581"/>
      <c r="G65" s="2581"/>
      <c r="H65" s="2581"/>
      <c r="I65" s="2581"/>
      <c r="J65" s="2581"/>
      <c r="K65" s="2581"/>
      <c r="L65" s="2581"/>
      <c r="M65" s="2581"/>
      <c r="N65" s="2581"/>
      <c r="O65" s="2581"/>
      <c r="P65" s="2581"/>
      <c r="Q65" s="2581"/>
      <c r="R65" s="2581"/>
      <c r="S65" s="2581"/>
    </row>
    <row r="66" spans="1:19" ht="30">
      <c r="A66" s="1319"/>
      <c r="B66" s="1320">
        <v>1</v>
      </c>
      <c r="C66" s="1321" t="s">
        <v>2350</v>
      </c>
      <c r="D66" s="1272">
        <v>104.61</v>
      </c>
      <c r="E66" s="1272">
        <v>0</v>
      </c>
      <c r="F66" s="1272">
        <v>0</v>
      </c>
      <c r="G66" s="1272"/>
      <c r="H66" s="1272"/>
      <c r="I66" s="1272">
        <f>D66+E66-F66</f>
        <v>104.61</v>
      </c>
      <c r="J66" s="1272">
        <v>23.05</v>
      </c>
      <c r="K66" s="1273">
        <f>J66/$J$71*$K$71</f>
        <v>4.0162795700510072</v>
      </c>
      <c r="L66" s="1273">
        <f>J66+K66</f>
        <v>27.066279570051009</v>
      </c>
      <c r="M66" s="1272">
        <f>I66+L66</f>
        <v>131.67627957005101</v>
      </c>
      <c r="N66" s="1273">
        <f>I66+L66-M66</f>
        <v>0</v>
      </c>
      <c r="O66" s="1272">
        <v>0</v>
      </c>
      <c r="P66" s="1272">
        <v>0</v>
      </c>
      <c r="Q66" s="1272">
        <v>0</v>
      </c>
      <c r="R66" s="1329"/>
      <c r="S66" s="1329"/>
    </row>
    <row r="67" spans="1:19" ht="30">
      <c r="A67" s="1319"/>
      <c r="B67" s="1320">
        <v>2</v>
      </c>
      <c r="C67" s="1321" t="s">
        <v>2352</v>
      </c>
      <c r="D67" s="1272">
        <v>0.06</v>
      </c>
      <c r="E67" s="1272">
        <v>14.98</v>
      </c>
      <c r="F67" s="1272">
        <v>0</v>
      </c>
      <c r="G67" s="1272"/>
      <c r="H67" s="1272"/>
      <c r="I67" s="1272">
        <f>D67+E67-F67</f>
        <v>15.040000000000001</v>
      </c>
      <c r="J67" s="1272">
        <v>4.2</v>
      </c>
      <c r="K67" s="1273">
        <f>J67/$J$71*$K$71</f>
        <v>0.73181666786178867</v>
      </c>
      <c r="L67" s="1273">
        <f>J67+K67</f>
        <v>4.9318166678617885</v>
      </c>
      <c r="M67" s="1272">
        <f>I67+L67</f>
        <v>19.971816667861788</v>
      </c>
      <c r="N67" s="1273">
        <f>I67+L67-M67</f>
        <v>0</v>
      </c>
      <c r="O67" s="1272">
        <v>0</v>
      </c>
      <c r="P67" s="1272">
        <v>0</v>
      </c>
      <c r="Q67" s="1272"/>
      <c r="R67" s="1329"/>
      <c r="S67" s="1329"/>
    </row>
    <row r="68" spans="1:19" ht="30">
      <c r="A68" s="1289"/>
      <c r="B68" s="1284">
        <v>3</v>
      </c>
      <c r="C68" s="1326" t="s">
        <v>1473</v>
      </c>
      <c r="D68" s="1273">
        <v>0</v>
      </c>
      <c r="E68" s="1273">
        <v>25.75</v>
      </c>
      <c r="F68" s="1273">
        <v>0</v>
      </c>
      <c r="G68" s="1273"/>
      <c r="H68" s="1273"/>
      <c r="I68" s="1272">
        <f>D68+E68-F68</f>
        <v>25.75</v>
      </c>
      <c r="J68" s="1273">
        <v>119.25</v>
      </c>
      <c r="K68" s="1273">
        <f>J68/$J$71*$K$71</f>
        <v>20.778366105361496</v>
      </c>
      <c r="L68" s="1273">
        <f>J68+K68</f>
        <v>140.0283661053615</v>
      </c>
      <c r="M68" s="1273">
        <f>I68+L68</f>
        <v>165.7783661053615</v>
      </c>
      <c r="N68" s="1273">
        <f>I68+L68-M68</f>
        <v>0</v>
      </c>
      <c r="O68" s="1273">
        <v>0</v>
      </c>
      <c r="P68" s="1273">
        <v>0</v>
      </c>
      <c r="Q68" s="1273">
        <v>0</v>
      </c>
      <c r="R68" s="1326">
        <v>0</v>
      </c>
      <c r="S68" s="1280"/>
    </row>
    <row r="69" spans="1:19" ht="45">
      <c r="A69" s="1330"/>
      <c r="B69" s="1290">
        <v>4</v>
      </c>
      <c r="C69" s="1326" t="s">
        <v>1597</v>
      </c>
      <c r="D69" s="1273">
        <v>0</v>
      </c>
      <c r="E69" s="1273">
        <v>0</v>
      </c>
      <c r="F69" s="1273">
        <v>0</v>
      </c>
      <c r="G69" s="1273"/>
      <c r="H69" s="1273"/>
      <c r="I69" s="1272">
        <f>D69+E69-F69</f>
        <v>0</v>
      </c>
      <c r="J69" s="1273">
        <v>138</v>
      </c>
      <c r="K69" s="1273">
        <f>J69/$J$71*$K$71</f>
        <v>24.045404801173053</v>
      </c>
      <c r="L69" s="1273">
        <f>J69+K69</f>
        <v>162.04540480117305</v>
      </c>
      <c r="M69" s="1273">
        <v>0</v>
      </c>
      <c r="N69" s="1273">
        <f>I69+L69-M69</f>
        <v>162.04540480117305</v>
      </c>
      <c r="O69" s="1273">
        <v>138</v>
      </c>
      <c r="P69" s="1273">
        <f>N69+O69</f>
        <v>300.04540480117305</v>
      </c>
      <c r="Q69" s="1273">
        <f>N69+O69-P69</f>
        <v>0</v>
      </c>
      <c r="R69" s="1326" t="s">
        <v>1598</v>
      </c>
      <c r="S69" s="1280"/>
    </row>
    <row r="70" spans="1:19" ht="45">
      <c r="A70" s="1330"/>
      <c r="B70" s="1331">
        <v>5</v>
      </c>
      <c r="C70" s="1326" t="s">
        <v>1600</v>
      </c>
      <c r="D70" s="1273">
        <v>0</v>
      </c>
      <c r="E70" s="1273">
        <v>0</v>
      </c>
      <c r="F70" s="1273">
        <v>0</v>
      </c>
      <c r="G70" s="1273"/>
      <c r="H70" s="1273"/>
      <c r="I70" s="1272">
        <f>D70+E70-F70</f>
        <v>0</v>
      </c>
      <c r="J70" s="1273">
        <v>35</v>
      </c>
      <c r="K70" s="1273">
        <f>J70/$J$71*$K$71</f>
        <v>6.0984722321815719</v>
      </c>
      <c r="L70" s="1273">
        <f>J70+K70</f>
        <v>41.098472232181571</v>
      </c>
      <c r="M70" s="1273">
        <v>0</v>
      </c>
      <c r="N70" s="1273">
        <f>I70+L70-M70</f>
        <v>41.098472232181571</v>
      </c>
      <c r="O70" s="1273">
        <v>40</v>
      </c>
      <c r="P70" s="1273">
        <f>N70+O70</f>
        <v>81.098472232181564</v>
      </c>
      <c r="Q70" s="1273">
        <f>N70+O70-P70</f>
        <v>0</v>
      </c>
      <c r="R70" s="1326" t="s">
        <v>1511</v>
      </c>
      <c r="S70" s="1280"/>
    </row>
    <row r="71" spans="1:19">
      <c r="A71" s="1291"/>
      <c r="B71" s="1281"/>
      <c r="C71" s="1281" t="s">
        <v>287</v>
      </c>
      <c r="D71" s="1278">
        <f>SUM(D66:D70)</f>
        <v>104.67</v>
      </c>
      <c r="E71" s="1278">
        <f t="shared" ref="E71:Q71" si="21">SUM(E66:E70)</f>
        <v>40.730000000000004</v>
      </c>
      <c r="F71" s="1278">
        <f t="shared" si="21"/>
        <v>0</v>
      </c>
      <c r="G71" s="1278"/>
      <c r="H71" s="1278"/>
      <c r="I71" s="1278">
        <f t="shared" si="21"/>
        <v>145.4</v>
      </c>
      <c r="J71" s="1278">
        <f t="shared" si="21"/>
        <v>319.5</v>
      </c>
      <c r="K71" s="1278">
        <f>J71/J72*K72</f>
        <v>55.670339376628917</v>
      </c>
      <c r="L71" s="1278">
        <f t="shared" si="21"/>
        <v>375.17033937662887</v>
      </c>
      <c r="M71" s="1278">
        <f t="shared" si="21"/>
        <v>317.4264623432743</v>
      </c>
      <c r="N71" s="1278">
        <f t="shared" si="21"/>
        <v>203.14387703335461</v>
      </c>
      <c r="O71" s="1278">
        <f t="shared" si="21"/>
        <v>178</v>
      </c>
      <c r="P71" s="1278">
        <f t="shared" si="21"/>
        <v>381.14387703335461</v>
      </c>
      <c r="Q71" s="1278">
        <f t="shared" si="21"/>
        <v>0</v>
      </c>
      <c r="R71" s="1281"/>
      <c r="S71" s="1280"/>
    </row>
    <row r="72" spans="1:19">
      <c r="A72" s="1287"/>
      <c r="B72" s="1285"/>
      <c r="C72" s="1288" t="s">
        <v>2460</v>
      </c>
      <c r="D72" s="1277">
        <f>D64+D71</f>
        <v>5346.5400000000009</v>
      </c>
      <c r="E72" s="1277">
        <f t="shared" ref="E72:Q72" si="22">E64+E71</f>
        <v>3957.2215874116805</v>
      </c>
      <c r="F72" s="1277">
        <f t="shared" si="22"/>
        <v>3353.84</v>
      </c>
      <c r="G72" s="1277"/>
      <c r="H72" s="1277"/>
      <c r="I72" s="1277">
        <f t="shared" si="22"/>
        <v>5949.9215874116817</v>
      </c>
      <c r="J72" s="1277">
        <f t="shared" si="22"/>
        <v>14921.769999999999</v>
      </c>
      <c r="K72" s="1277">
        <v>2600</v>
      </c>
      <c r="L72" s="1277">
        <f t="shared" si="22"/>
        <v>17521.770000000004</v>
      </c>
      <c r="M72" s="1277">
        <f t="shared" si="22"/>
        <v>8730.2824332100008</v>
      </c>
      <c r="N72" s="1277">
        <f t="shared" si="22"/>
        <v>14741.409154201678</v>
      </c>
      <c r="O72" s="1277">
        <f t="shared" si="22"/>
        <v>16379.879999999997</v>
      </c>
      <c r="P72" s="1277">
        <f t="shared" si="22"/>
        <v>30312.25434470523</v>
      </c>
      <c r="Q72" s="1277">
        <f t="shared" si="22"/>
        <v>809.03480949646064</v>
      </c>
      <c r="R72" s="1285"/>
      <c r="S72" s="1280"/>
    </row>
    <row r="73" spans="1:19">
      <c r="A73" s="1289"/>
      <c r="B73" s="1289"/>
      <c r="C73" s="1292"/>
      <c r="D73" s="1332"/>
      <c r="E73" s="1332"/>
      <c r="F73" s="1332"/>
      <c r="G73" s="1332"/>
      <c r="H73" s="1332"/>
      <c r="I73" s="1332"/>
      <c r="J73" s="1332"/>
      <c r="K73" s="1332"/>
      <c r="L73" s="1332"/>
      <c r="M73" s="1332"/>
      <c r="N73" s="1332"/>
      <c r="O73" s="1332"/>
      <c r="P73" s="1332"/>
      <c r="Q73" s="1332"/>
      <c r="R73" s="1289"/>
    </row>
    <row r="74" spans="1:19">
      <c r="A74" s="1289"/>
      <c r="B74" s="1289"/>
      <c r="C74" s="1292"/>
      <c r="D74" s="1293"/>
      <c r="E74" s="1293"/>
      <c r="F74" s="1293"/>
      <c r="G74" s="1293"/>
      <c r="H74" s="1293"/>
      <c r="I74" s="1293"/>
      <c r="J74" s="1293"/>
      <c r="K74" s="1293"/>
      <c r="L74" s="1293"/>
      <c r="M74" s="1293"/>
      <c r="N74" s="1293"/>
      <c r="O74" s="1294"/>
      <c r="P74" s="1294"/>
      <c r="Q74" s="1294"/>
      <c r="R74" s="1289"/>
    </row>
    <row r="75" spans="1:19">
      <c r="A75" s="1289"/>
      <c r="B75" s="1289"/>
      <c r="C75" s="1292"/>
      <c r="D75" s="1293"/>
      <c r="E75" s="1293"/>
      <c r="F75" s="1332"/>
      <c r="G75" s="1332"/>
      <c r="H75" s="1332"/>
      <c r="I75" s="1293"/>
      <c r="J75" s="1293">
        <f>J71/J72</f>
        <v>2.1411668991011122E-2</v>
      </c>
      <c r="K75" s="1293"/>
      <c r="L75" s="1293"/>
      <c r="M75" s="1293"/>
      <c r="N75" s="1293"/>
      <c r="O75" s="1294"/>
      <c r="P75" s="1294"/>
      <c r="Q75" s="1294"/>
      <c r="R75" s="1289"/>
    </row>
    <row r="76" spans="1:19">
      <c r="A76" s="1289"/>
      <c r="B76" s="1289"/>
      <c r="C76" s="1292"/>
      <c r="D76" s="1293"/>
      <c r="E76" s="1293"/>
      <c r="F76" s="1293"/>
      <c r="G76" s="1293"/>
      <c r="H76" s="1293"/>
      <c r="I76" s="1293"/>
      <c r="J76" s="1293"/>
      <c r="K76" s="1293"/>
      <c r="L76" s="1293"/>
      <c r="M76" s="1293"/>
      <c r="N76" s="1293"/>
      <c r="O76" s="1294"/>
      <c r="P76" s="1294"/>
      <c r="Q76" s="1294"/>
      <c r="R76" s="1289"/>
    </row>
    <row r="77" spans="1:19">
      <c r="A77" s="1289"/>
      <c r="B77" s="1289"/>
      <c r="C77" s="1292"/>
      <c r="D77" s="1293"/>
      <c r="E77" s="1293"/>
      <c r="F77" s="1293">
        <v>26</v>
      </c>
      <c r="G77" s="1293"/>
      <c r="H77" s="1293"/>
      <c r="I77" s="1293">
        <f>J71/J72*F77</f>
        <v>0.55670339376628919</v>
      </c>
      <c r="J77" s="1293"/>
      <c r="K77" s="1293"/>
      <c r="L77" s="1293"/>
      <c r="M77" s="1293"/>
      <c r="N77" s="1293"/>
      <c r="O77" s="1294"/>
      <c r="P77" s="1294"/>
      <c r="Q77" s="1294"/>
      <c r="R77" s="1289"/>
    </row>
    <row r="78" spans="1:19">
      <c r="A78" s="1289"/>
      <c r="B78" s="1289"/>
      <c r="C78" s="1292"/>
      <c r="D78" s="1293"/>
      <c r="E78" s="1293"/>
      <c r="F78" s="1293"/>
      <c r="G78" s="1293"/>
      <c r="H78" s="1293"/>
      <c r="I78" s="1293">
        <f>J64/J72*F77</f>
        <v>25.443296606233712</v>
      </c>
      <c r="J78" s="1293"/>
      <c r="K78" s="1293"/>
      <c r="L78" s="1293"/>
      <c r="M78" s="1293"/>
      <c r="N78" s="1293"/>
      <c r="O78" s="1294"/>
      <c r="P78" s="1294"/>
      <c r="Q78" s="1294"/>
      <c r="R78" s="1289"/>
    </row>
    <row r="79" spans="1:19">
      <c r="A79" s="1289"/>
      <c r="B79" s="1289"/>
      <c r="C79" s="1292"/>
      <c r="D79" s="1293"/>
      <c r="E79" s="1293"/>
      <c r="F79" s="1293"/>
      <c r="G79" s="1293"/>
      <c r="H79" s="1293"/>
      <c r="I79" s="1293">
        <f>SUM(I77:I78)</f>
        <v>26</v>
      </c>
      <c r="J79" s="1293"/>
      <c r="K79" s="1293"/>
      <c r="L79" s="1293"/>
      <c r="M79" s="1293"/>
      <c r="N79" s="1293"/>
      <c r="O79" s="1294"/>
      <c r="P79" s="1294"/>
      <c r="Q79" s="1294"/>
      <c r="R79" s="1289"/>
    </row>
    <row r="80" spans="1:19">
      <c r="A80" s="1289"/>
      <c r="B80" s="1289"/>
      <c r="C80" s="1292"/>
      <c r="D80" s="1293"/>
      <c r="E80" s="1293"/>
      <c r="F80" s="1293"/>
      <c r="G80" s="1293"/>
      <c r="H80" s="1293"/>
      <c r="I80" s="1293"/>
      <c r="J80" s="1293"/>
      <c r="K80" s="1293"/>
      <c r="L80" s="1293"/>
      <c r="M80" s="1293"/>
      <c r="N80" s="1293"/>
      <c r="O80" s="1294"/>
      <c r="P80" s="1294"/>
      <c r="Q80" s="1294"/>
      <c r="R80" s="1289"/>
    </row>
    <row r="81" spans="1:18">
      <c r="A81" s="1289"/>
      <c r="B81" s="1289"/>
      <c r="C81" s="1292"/>
      <c r="D81" s="1293"/>
      <c r="E81" s="1293"/>
      <c r="F81" s="1293"/>
      <c r="G81" s="1293"/>
      <c r="H81" s="1293"/>
      <c r="I81" s="1293"/>
      <c r="J81" s="1293"/>
      <c r="K81" s="1293"/>
      <c r="L81" s="1293"/>
      <c r="M81" s="1293"/>
      <c r="N81" s="1293"/>
      <c r="O81" s="1294"/>
      <c r="P81" s="1294"/>
      <c r="Q81" s="1294"/>
      <c r="R81" s="1289"/>
    </row>
    <row r="82" spans="1:18">
      <c r="A82" s="1289"/>
      <c r="B82" s="1289"/>
      <c r="C82" s="1292"/>
      <c r="D82" s="1293"/>
      <c r="E82" s="1293"/>
      <c r="F82" s="1293"/>
      <c r="G82" s="1293"/>
      <c r="H82" s="1293"/>
      <c r="I82" s="1293"/>
      <c r="J82" s="1293"/>
      <c r="K82" s="1293"/>
      <c r="L82" s="1293"/>
      <c r="M82" s="1293"/>
      <c r="N82" s="1293"/>
      <c r="O82" s="1294"/>
      <c r="P82" s="1294"/>
      <c r="Q82" s="1294"/>
      <c r="R82" s="1289"/>
    </row>
    <row r="83" spans="1:18">
      <c r="A83" s="1289"/>
      <c r="B83" s="1289"/>
      <c r="C83" s="1292"/>
      <c r="D83" s="1293"/>
      <c r="E83" s="1293"/>
      <c r="F83" s="1293"/>
      <c r="G83" s="1293"/>
      <c r="H83" s="1293"/>
      <c r="I83" s="1293"/>
      <c r="J83" s="1293"/>
      <c r="K83" s="1293"/>
      <c r="L83" s="1293"/>
      <c r="M83" s="1293"/>
      <c r="N83" s="1293"/>
      <c r="O83" s="1294"/>
      <c r="P83" s="1294"/>
      <c r="Q83" s="1294"/>
      <c r="R83" s="1289"/>
    </row>
    <row r="84" spans="1:18">
      <c r="A84" s="1289"/>
      <c r="B84" s="1289"/>
      <c r="C84" s="1292"/>
      <c r="D84" s="1293"/>
      <c r="E84" s="1293"/>
      <c r="F84" s="1293"/>
      <c r="G84" s="1293"/>
      <c r="H84" s="1293"/>
      <c r="I84" s="1293"/>
      <c r="J84" s="1293"/>
      <c r="K84" s="1293"/>
      <c r="L84" s="1293"/>
      <c r="M84" s="1293"/>
      <c r="N84" s="1293"/>
      <c r="O84" s="1294"/>
      <c r="P84" s="1294"/>
      <c r="Q84" s="1294"/>
      <c r="R84" s="1289"/>
    </row>
    <row r="85" spans="1:18">
      <c r="A85" s="1289"/>
      <c r="B85" s="1289"/>
      <c r="C85" s="1292"/>
      <c r="D85" s="1293"/>
      <c r="E85" s="1293"/>
      <c r="F85" s="1293"/>
      <c r="G85" s="1293"/>
      <c r="H85" s="1293"/>
      <c r="I85" s="1293"/>
      <c r="J85" s="1293"/>
      <c r="K85" s="1293"/>
      <c r="L85" s="1293"/>
      <c r="M85" s="1293"/>
      <c r="N85" s="1293"/>
      <c r="O85" s="1294"/>
      <c r="P85" s="1294"/>
      <c r="Q85" s="1294"/>
      <c r="R85" s="1289"/>
    </row>
    <row r="86" spans="1:18">
      <c r="A86" s="1289"/>
      <c r="B86" s="1289"/>
      <c r="C86" s="1292"/>
      <c r="D86" s="1293"/>
      <c r="E86" s="1293"/>
      <c r="F86" s="1293"/>
      <c r="G86" s="1293"/>
      <c r="H86" s="1293"/>
      <c r="I86" s="1293"/>
      <c r="J86" s="1293"/>
      <c r="K86" s="1293"/>
      <c r="L86" s="1293"/>
      <c r="M86" s="1293"/>
      <c r="N86" s="1293"/>
      <c r="O86" s="1294"/>
      <c r="P86" s="1294"/>
      <c r="Q86" s="1294"/>
      <c r="R86" s="1289"/>
    </row>
    <row r="87" spans="1:18">
      <c r="A87" s="1289"/>
      <c r="B87" s="1289"/>
      <c r="C87" s="1292"/>
      <c r="D87" s="1293"/>
      <c r="E87" s="1293"/>
      <c r="F87" s="1293"/>
      <c r="G87" s="1293"/>
      <c r="H87" s="1293"/>
      <c r="I87" s="1293"/>
      <c r="J87" s="1293"/>
      <c r="K87" s="1293"/>
      <c r="L87" s="1293"/>
      <c r="M87" s="1293"/>
      <c r="N87" s="1293"/>
      <c r="O87" s="1294"/>
      <c r="P87" s="1294"/>
      <c r="Q87" s="1294"/>
      <c r="R87" s="1289"/>
    </row>
    <row r="88" spans="1:18">
      <c r="A88" s="1289"/>
      <c r="B88" s="1289"/>
      <c r="C88" s="1292"/>
      <c r="D88" s="1293"/>
      <c r="E88" s="1293"/>
      <c r="F88" s="1293"/>
      <c r="G88" s="1293"/>
      <c r="H88" s="1293"/>
      <c r="I88" s="1293"/>
      <c r="J88" s="1293"/>
      <c r="K88" s="1293"/>
      <c r="L88" s="1293"/>
      <c r="M88" s="1293"/>
      <c r="N88" s="1293"/>
      <c r="O88" s="1294"/>
      <c r="P88" s="1294"/>
      <c r="Q88" s="1294"/>
      <c r="R88" s="1289"/>
    </row>
    <row r="89" spans="1:18">
      <c r="A89" s="1289"/>
      <c r="B89" s="1289"/>
      <c r="C89" s="1292"/>
      <c r="D89" s="1293"/>
      <c r="E89" s="1293"/>
      <c r="F89" s="1293"/>
      <c r="G89" s="1293"/>
      <c r="H89" s="1293"/>
      <c r="I89" s="1293"/>
      <c r="J89" s="1293"/>
      <c r="K89" s="1293"/>
      <c r="L89" s="1293"/>
      <c r="M89" s="1293"/>
      <c r="N89" s="1293"/>
      <c r="O89" s="1294"/>
      <c r="P89" s="1294"/>
      <c r="Q89" s="1294"/>
      <c r="R89" s="1289"/>
    </row>
    <row r="90" spans="1:18">
      <c r="A90" s="1289"/>
      <c r="B90" s="1289"/>
      <c r="C90" s="1292"/>
      <c r="D90" s="1293"/>
      <c r="E90" s="1293"/>
      <c r="F90" s="1293"/>
      <c r="G90" s="1293"/>
      <c r="H90" s="1293"/>
      <c r="I90" s="1293"/>
      <c r="J90" s="1293"/>
      <c r="K90" s="1293"/>
      <c r="L90" s="1293"/>
      <c r="M90" s="1293"/>
      <c r="N90" s="1293"/>
      <c r="O90" s="1294"/>
      <c r="P90" s="1294"/>
      <c r="Q90" s="1294"/>
      <c r="R90" s="1289"/>
    </row>
    <row r="91" spans="1:18">
      <c r="A91" s="1289"/>
      <c r="B91" s="1289"/>
      <c r="C91" s="1292"/>
      <c r="D91" s="1293"/>
      <c r="E91" s="1293"/>
      <c r="F91" s="1293"/>
      <c r="G91" s="1293"/>
      <c r="H91" s="1293"/>
      <c r="I91" s="1293"/>
      <c r="J91" s="1293"/>
      <c r="K91" s="1293"/>
      <c r="L91" s="1293"/>
      <c r="M91" s="1293"/>
      <c r="N91" s="1293"/>
      <c r="O91" s="1294"/>
      <c r="P91" s="1294"/>
      <c r="Q91" s="1294"/>
      <c r="R91" s="1289"/>
    </row>
    <row r="92" spans="1:18">
      <c r="A92" s="1289"/>
      <c r="B92" s="1289"/>
      <c r="C92" s="1292"/>
      <c r="D92" s="1293"/>
      <c r="E92" s="1293"/>
      <c r="F92" s="1293"/>
      <c r="G92" s="1293"/>
      <c r="H92" s="1293"/>
      <c r="I92" s="1293"/>
      <c r="J92" s="1293"/>
      <c r="K92" s="1293"/>
      <c r="L92" s="1293"/>
      <c r="M92" s="1293"/>
      <c r="N92" s="1293"/>
      <c r="O92" s="1294"/>
      <c r="P92" s="1294"/>
      <c r="Q92" s="1294"/>
      <c r="R92" s="1289"/>
    </row>
    <row r="93" spans="1:18">
      <c r="A93" s="1289"/>
      <c r="B93" s="1289"/>
      <c r="C93" s="1292"/>
      <c r="D93" s="1293"/>
      <c r="E93" s="1293"/>
      <c r="F93" s="1293"/>
      <c r="G93" s="1293"/>
      <c r="H93" s="1293"/>
      <c r="I93" s="1293"/>
      <c r="J93" s="1293"/>
      <c r="K93" s="1293"/>
      <c r="L93" s="1293"/>
      <c r="M93" s="1293"/>
      <c r="N93" s="1293"/>
      <c r="O93" s="1294"/>
      <c r="P93" s="1294"/>
      <c r="Q93" s="1294"/>
      <c r="R93" s="1289"/>
    </row>
    <row r="94" spans="1:18">
      <c r="A94" s="1289"/>
      <c r="B94" s="1289"/>
      <c r="C94" s="1292"/>
      <c r="D94" s="1293"/>
      <c r="E94" s="1293"/>
      <c r="F94" s="1293"/>
      <c r="G94" s="1293"/>
      <c r="H94" s="1293"/>
      <c r="I94" s="1293"/>
      <c r="J94" s="1293"/>
      <c r="K94" s="1293"/>
      <c r="L94" s="1293"/>
      <c r="M94" s="1293"/>
      <c r="N94" s="1293"/>
      <c r="O94" s="1294"/>
      <c r="P94" s="1294"/>
      <c r="Q94" s="1294"/>
      <c r="R94" s="1289"/>
    </row>
    <row r="95" spans="1:18">
      <c r="A95" s="1289"/>
      <c r="B95" s="1289"/>
      <c r="C95" s="1292"/>
      <c r="D95" s="1293"/>
      <c r="E95" s="1293"/>
      <c r="F95" s="1293"/>
      <c r="G95" s="1293"/>
      <c r="H95" s="1293"/>
      <c r="I95" s="1293"/>
      <c r="J95" s="1293"/>
      <c r="K95" s="1293"/>
      <c r="L95" s="1293"/>
      <c r="M95" s="1293"/>
      <c r="N95" s="1293"/>
      <c r="O95" s="1294"/>
      <c r="P95" s="1294"/>
      <c r="Q95" s="1294"/>
      <c r="R95" s="1289"/>
    </row>
    <row r="96" spans="1:18">
      <c r="A96" s="1289"/>
      <c r="B96" s="1289"/>
      <c r="C96" s="1292"/>
      <c r="D96" s="1293"/>
      <c r="E96" s="1293"/>
      <c r="F96" s="1293"/>
      <c r="G96" s="1293"/>
      <c r="H96" s="1293"/>
      <c r="I96" s="1293"/>
      <c r="J96" s="1293"/>
      <c r="K96" s="1293"/>
      <c r="L96" s="1293"/>
      <c r="M96" s="1293"/>
      <c r="N96" s="1293"/>
      <c r="O96" s="1294"/>
      <c r="P96" s="1294"/>
      <c r="Q96" s="1294"/>
      <c r="R96" s="1289"/>
    </row>
    <row r="97" spans="1:18">
      <c r="A97" s="1289"/>
      <c r="B97" s="1289"/>
      <c r="C97" s="1292"/>
      <c r="D97" s="1293"/>
      <c r="E97" s="1293"/>
      <c r="F97" s="1293"/>
      <c r="G97" s="1293"/>
      <c r="H97" s="1293"/>
      <c r="I97" s="1293"/>
      <c r="J97" s="1293"/>
      <c r="K97" s="1293"/>
      <c r="L97" s="1293"/>
      <c r="M97" s="1293"/>
      <c r="N97" s="1293"/>
      <c r="O97" s="1294"/>
      <c r="P97" s="1294"/>
      <c r="Q97" s="1294"/>
      <c r="R97" s="1289"/>
    </row>
    <row r="98" spans="1:18">
      <c r="A98" s="1289"/>
      <c r="B98" s="1289"/>
      <c r="C98" s="1292"/>
      <c r="D98" s="1293"/>
      <c r="E98" s="1293"/>
      <c r="F98" s="1293"/>
      <c r="G98" s="1293"/>
      <c r="H98" s="1293"/>
      <c r="I98" s="1293"/>
      <c r="J98" s="1293"/>
      <c r="K98" s="1293"/>
      <c r="L98" s="1293"/>
      <c r="M98" s="1293"/>
      <c r="N98" s="1293"/>
      <c r="O98" s="1294"/>
      <c r="P98" s="1294"/>
      <c r="Q98" s="1294"/>
      <c r="R98" s="1289"/>
    </row>
    <row r="99" spans="1:18">
      <c r="A99" s="1289"/>
      <c r="B99" s="1289"/>
      <c r="C99" s="1292"/>
      <c r="D99" s="1293"/>
      <c r="E99" s="1293"/>
      <c r="F99" s="1293"/>
      <c r="G99" s="1293"/>
      <c r="H99" s="1293"/>
      <c r="I99" s="1293"/>
      <c r="J99" s="1293"/>
      <c r="K99" s="1293"/>
      <c r="L99" s="1293"/>
      <c r="M99" s="1293"/>
      <c r="N99" s="1293"/>
      <c r="O99" s="1294"/>
      <c r="P99" s="1294"/>
      <c r="Q99" s="1294"/>
      <c r="R99" s="1289"/>
    </row>
    <row r="100" spans="1:18">
      <c r="A100" s="1289"/>
      <c r="B100" s="1289"/>
      <c r="C100" s="1292"/>
      <c r="D100" s="1293"/>
      <c r="E100" s="1293"/>
      <c r="F100" s="1293"/>
      <c r="G100" s="1293"/>
      <c r="H100" s="1293"/>
      <c r="I100" s="1293"/>
      <c r="J100" s="1293"/>
      <c r="K100" s="1293"/>
      <c r="L100" s="1293"/>
      <c r="M100" s="1293"/>
      <c r="N100" s="1293"/>
      <c r="O100" s="1294"/>
      <c r="P100" s="1294"/>
      <c r="Q100" s="1294"/>
      <c r="R100" s="1289"/>
    </row>
    <row r="101" spans="1:18">
      <c r="A101" s="1289"/>
      <c r="B101" s="1289"/>
      <c r="C101" s="1292"/>
      <c r="D101" s="1293"/>
      <c r="E101" s="1293"/>
      <c r="F101" s="1293"/>
      <c r="G101" s="1293"/>
      <c r="H101" s="1293"/>
      <c r="I101" s="1293"/>
      <c r="J101" s="1293"/>
      <c r="K101" s="1293"/>
      <c r="L101" s="1293"/>
      <c r="M101" s="1293"/>
      <c r="N101" s="1293"/>
      <c r="O101" s="1294"/>
      <c r="P101" s="1294"/>
      <c r="Q101" s="1294"/>
      <c r="R101" s="1289"/>
    </row>
    <row r="102" spans="1:18">
      <c r="A102" s="1289"/>
      <c r="B102" s="1289"/>
      <c r="C102" s="1292"/>
      <c r="D102" s="1293"/>
      <c r="E102" s="1293"/>
      <c r="F102" s="1293"/>
      <c r="G102" s="1293"/>
      <c r="H102" s="1293"/>
      <c r="I102" s="1293"/>
      <c r="J102" s="1293"/>
      <c r="K102" s="1293"/>
      <c r="L102" s="1293"/>
      <c r="M102" s="1293"/>
      <c r="N102" s="1293"/>
      <c r="O102" s="1294"/>
      <c r="P102" s="1294"/>
      <c r="Q102" s="1294"/>
      <c r="R102" s="1289"/>
    </row>
    <row r="103" spans="1:18">
      <c r="A103" s="1289"/>
      <c r="B103" s="1289"/>
      <c r="C103" s="1292"/>
      <c r="D103" s="1293"/>
      <c r="E103" s="1293"/>
      <c r="F103" s="1293"/>
      <c r="G103" s="1293"/>
      <c r="H103" s="1293"/>
      <c r="I103" s="1293"/>
      <c r="J103" s="1293"/>
      <c r="K103" s="1293"/>
      <c r="L103" s="1293"/>
      <c r="M103" s="1293"/>
      <c r="N103" s="1293"/>
      <c r="O103" s="1294"/>
      <c r="P103" s="1294"/>
      <c r="Q103" s="1294"/>
      <c r="R103" s="1289"/>
    </row>
    <row r="104" spans="1:18">
      <c r="A104" s="1289"/>
      <c r="B104" s="1289"/>
      <c r="C104" s="1292"/>
      <c r="D104" s="1293"/>
      <c r="E104" s="1293"/>
      <c r="F104" s="1293"/>
      <c r="G104" s="1293"/>
      <c r="H104" s="1293"/>
      <c r="I104" s="1293"/>
      <c r="J104" s="1293"/>
      <c r="K104" s="1293"/>
      <c r="L104" s="1293"/>
      <c r="M104" s="1293"/>
      <c r="N104" s="1293"/>
      <c r="O104" s="1294"/>
      <c r="P104" s="1294"/>
      <c r="Q104" s="1294"/>
      <c r="R104" s="1289"/>
    </row>
    <row r="105" spans="1:18">
      <c r="A105" s="1289"/>
      <c r="B105" s="1289"/>
      <c r="C105" s="1292"/>
      <c r="D105" s="1293"/>
      <c r="E105" s="1293"/>
      <c r="F105" s="1293"/>
      <c r="G105" s="1293"/>
      <c r="H105" s="1293"/>
      <c r="I105" s="1293"/>
      <c r="J105" s="1293"/>
      <c r="K105" s="1293"/>
      <c r="L105" s="1293"/>
      <c r="M105" s="1293"/>
      <c r="N105" s="1293"/>
      <c r="O105" s="1294"/>
      <c r="P105" s="1294"/>
      <c r="Q105" s="1294"/>
      <c r="R105" s="1289"/>
    </row>
    <row r="106" spans="1:18">
      <c r="A106" s="1289"/>
      <c r="B106" s="1289"/>
      <c r="C106" s="1292"/>
      <c r="D106" s="1293"/>
      <c r="E106" s="1293"/>
      <c r="F106" s="1293"/>
      <c r="G106" s="1293"/>
      <c r="H106" s="1293"/>
      <c r="I106" s="1293"/>
      <c r="J106" s="1293"/>
      <c r="K106" s="1293"/>
      <c r="L106" s="1293"/>
      <c r="M106" s="1293"/>
      <c r="N106" s="1293"/>
      <c r="O106" s="1294"/>
      <c r="P106" s="1294"/>
      <c r="Q106" s="1294"/>
      <c r="R106" s="1289"/>
    </row>
    <row r="107" spans="1:18">
      <c r="A107" s="1289"/>
      <c r="B107" s="1289"/>
      <c r="C107" s="1292"/>
      <c r="D107" s="1293"/>
      <c r="E107" s="1293"/>
      <c r="F107" s="1293"/>
      <c r="G107" s="1293"/>
      <c r="H107" s="1293"/>
      <c r="I107" s="1293"/>
      <c r="J107" s="1293"/>
      <c r="K107" s="1293"/>
      <c r="L107" s="1293"/>
      <c r="M107" s="1293"/>
      <c r="N107" s="1293"/>
      <c r="O107" s="1294"/>
      <c r="P107" s="1294"/>
      <c r="Q107" s="1294"/>
      <c r="R107" s="1289"/>
    </row>
    <row r="108" spans="1:18">
      <c r="A108" s="1289"/>
      <c r="B108" s="1289"/>
      <c r="C108" s="1292"/>
      <c r="D108" s="1293"/>
      <c r="E108" s="1293"/>
      <c r="F108" s="1293"/>
      <c r="G108" s="1293"/>
      <c r="H108" s="1293"/>
      <c r="I108" s="1293"/>
      <c r="J108" s="1293"/>
      <c r="K108" s="1293"/>
      <c r="L108" s="1293"/>
      <c r="M108" s="1293"/>
      <c r="N108" s="1293"/>
      <c r="O108" s="1294"/>
      <c r="P108" s="1294"/>
      <c r="Q108" s="1294"/>
      <c r="R108" s="1289"/>
    </row>
    <row r="109" spans="1:18">
      <c r="A109" s="1289"/>
      <c r="B109" s="1289"/>
      <c r="C109" s="1292"/>
      <c r="D109" s="1293"/>
      <c r="E109" s="1293"/>
      <c r="F109" s="1293"/>
      <c r="G109" s="1293"/>
      <c r="H109" s="1293"/>
      <c r="I109" s="1293"/>
      <c r="J109" s="1293"/>
      <c r="K109" s="1293"/>
      <c r="L109" s="1293"/>
      <c r="M109" s="1293"/>
      <c r="N109" s="1293"/>
      <c r="O109" s="1294"/>
      <c r="P109" s="1294"/>
      <c r="Q109" s="1294"/>
      <c r="R109" s="1289"/>
    </row>
    <row r="110" spans="1:18">
      <c r="A110" s="1289"/>
      <c r="B110" s="1289"/>
      <c r="C110" s="1292"/>
      <c r="D110" s="1293"/>
      <c r="E110" s="1293"/>
      <c r="F110" s="1293"/>
      <c r="G110" s="1293"/>
      <c r="H110" s="1293"/>
      <c r="I110" s="1293"/>
      <c r="J110" s="1293"/>
      <c r="K110" s="1293"/>
      <c r="L110" s="1293"/>
      <c r="M110" s="1293"/>
      <c r="N110" s="1293"/>
      <c r="O110" s="1294"/>
      <c r="P110" s="1294"/>
      <c r="Q110" s="1294"/>
      <c r="R110" s="1289"/>
    </row>
    <row r="111" spans="1:18">
      <c r="A111" s="1289"/>
      <c r="B111" s="1289"/>
      <c r="C111" s="1292"/>
      <c r="D111" s="1293"/>
      <c r="E111" s="1293"/>
      <c r="F111" s="1293"/>
      <c r="G111" s="1293"/>
      <c r="H111" s="1293"/>
      <c r="I111" s="1293"/>
      <c r="J111" s="1293"/>
      <c r="K111" s="1293"/>
      <c r="L111" s="1293"/>
      <c r="M111" s="1293"/>
      <c r="N111" s="1293"/>
      <c r="O111" s="1294"/>
      <c r="P111" s="1294"/>
      <c r="Q111" s="1294"/>
      <c r="R111" s="1289"/>
    </row>
    <row r="112" spans="1:18">
      <c r="A112" s="1289"/>
      <c r="B112" s="1289"/>
      <c r="C112" s="1292"/>
      <c r="D112" s="1293"/>
      <c r="E112" s="1293"/>
      <c r="F112" s="1293"/>
      <c r="G112" s="1293"/>
      <c r="H112" s="1293"/>
      <c r="I112" s="1293"/>
      <c r="J112" s="1293"/>
      <c r="K112" s="1293"/>
      <c r="L112" s="1293"/>
      <c r="M112" s="1293"/>
      <c r="N112" s="1293"/>
      <c r="O112" s="1294"/>
      <c r="P112" s="1294"/>
      <c r="Q112" s="1294"/>
      <c r="R112" s="1289"/>
    </row>
    <row r="113" spans="1:18">
      <c r="A113" s="1289"/>
      <c r="B113" s="1289"/>
      <c r="C113" s="1292"/>
      <c r="D113" s="1293"/>
      <c r="E113" s="1293"/>
      <c r="F113" s="1293"/>
      <c r="G113" s="1293"/>
      <c r="H113" s="1293"/>
      <c r="I113" s="1293"/>
      <c r="J113" s="1293"/>
      <c r="K113" s="1293"/>
      <c r="L113" s="1293"/>
      <c r="M113" s="1293"/>
      <c r="N113" s="1293"/>
      <c r="O113" s="1294"/>
      <c r="P113" s="1294"/>
      <c r="Q113" s="1294"/>
      <c r="R113" s="1289"/>
    </row>
    <row r="114" spans="1:18">
      <c r="A114" s="1289"/>
      <c r="B114" s="1289"/>
      <c r="C114" s="1292"/>
      <c r="D114" s="1293"/>
      <c r="E114" s="1293"/>
      <c r="F114" s="1293"/>
      <c r="G114" s="1293"/>
      <c r="H114" s="1293"/>
      <c r="I114" s="1293"/>
      <c r="J114" s="1293"/>
      <c r="K114" s="1293"/>
      <c r="L114" s="1293"/>
      <c r="M114" s="1293"/>
      <c r="N114" s="1293"/>
      <c r="O114" s="1294"/>
      <c r="P114" s="1294"/>
      <c r="Q114" s="1294"/>
      <c r="R114" s="1289"/>
    </row>
    <row r="115" spans="1:18">
      <c r="A115" s="1289"/>
      <c r="B115" s="1289"/>
      <c r="C115" s="1292"/>
      <c r="D115" s="1293"/>
      <c r="E115" s="1293"/>
      <c r="F115" s="1293"/>
      <c r="G115" s="1293"/>
      <c r="H115" s="1293"/>
      <c r="I115" s="1293"/>
      <c r="J115" s="1293"/>
      <c r="K115" s="1293"/>
      <c r="L115" s="1293"/>
      <c r="M115" s="1293"/>
      <c r="N115" s="1293"/>
      <c r="O115" s="1294"/>
      <c r="P115" s="1294"/>
      <c r="Q115" s="1294"/>
      <c r="R115" s="1289"/>
    </row>
    <row r="116" spans="1:18">
      <c r="A116" s="1289"/>
      <c r="B116" s="1289"/>
      <c r="C116" s="1292"/>
      <c r="D116" s="1293"/>
      <c r="E116" s="1293"/>
      <c r="F116" s="1293"/>
      <c r="G116" s="1293"/>
      <c r="H116" s="1293"/>
      <c r="I116" s="1293"/>
      <c r="J116" s="1293"/>
      <c r="K116" s="1293"/>
      <c r="L116" s="1293"/>
      <c r="M116" s="1293"/>
      <c r="N116" s="1293"/>
      <c r="O116" s="1294"/>
      <c r="P116" s="1294"/>
      <c r="Q116" s="1294"/>
      <c r="R116" s="1289"/>
    </row>
    <row r="117" spans="1:18">
      <c r="A117" s="1289"/>
      <c r="B117" s="1289"/>
      <c r="C117" s="1292"/>
      <c r="D117" s="1293"/>
      <c r="E117" s="1293"/>
      <c r="F117" s="1293"/>
      <c r="G117" s="1293"/>
      <c r="H117" s="1293"/>
      <c r="I117" s="1293"/>
      <c r="J117" s="1293"/>
      <c r="K117" s="1293"/>
      <c r="L117" s="1293"/>
      <c r="M117" s="1293"/>
      <c r="N117" s="1293"/>
      <c r="O117" s="1294"/>
      <c r="P117" s="1294"/>
      <c r="Q117" s="1294"/>
      <c r="R117" s="1289"/>
    </row>
    <row r="118" spans="1:18">
      <c r="A118" s="1289"/>
      <c r="B118" s="1289"/>
      <c r="C118" s="1292"/>
      <c r="D118" s="1293"/>
      <c r="E118" s="1293"/>
      <c r="F118" s="1293"/>
      <c r="G118" s="1293"/>
      <c r="H118" s="1293"/>
      <c r="I118" s="1293"/>
      <c r="J118" s="1293"/>
      <c r="K118" s="1293"/>
      <c r="L118" s="1293"/>
      <c r="M118" s="1293"/>
      <c r="N118" s="1293"/>
      <c r="O118" s="1294"/>
      <c r="P118" s="1294"/>
      <c r="Q118" s="1294"/>
      <c r="R118" s="1289"/>
    </row>
    <row r="119" spans="1:18">
      <c r="A119" s="1289"/>
      <c r="B119" s="1289"/>
      <c r="C119" s="1292"/>
      <c r="D119" s="1293"/>
      <c r="E119" s="1293"/>
      <c r="F119" s="1293"/>
      <c r="G119" s="1293"/>
      <c r="H119" s="1293"/>
      <c r="I119" s="1293"/>
      <c r="J119" s="1293"/>
      <c r="K119" s="1293"/>
      <c r="L119" s="1293"/>
      <c r="M119" s="1293"/>
      <c r="N119" s="1293"/>
      <c r="O119" s="1294"/>
      <c r="P119" s="1294"/>
      <c r="Q119" s="1294"/>
      <c r="R119" s="1289"/>
    </row>
    <row r="120" spans="1:18">
      <c r="A120" s="1289"/>
      <c r="B120" s="1289"/>
      <c r="C120" s="1292"/>
      <c r="D120" s="1293"/>
      <c r="E120" s="1293"/>
      <c r="F120" s="1293"/>
      <c r="G120" s="1293"/>
      <c r="H120" s="1293"/>
      <c r="I120" s="1293"/>
      <c r="J120" s="1293"/>
      <c r="K120" s="1293"/>
      <c r="L120" s="1293"/>
      <c r="M120" s="1293"/>
      <c r="N120" s="1293"/>
      <c r="O120" s="1294"/>
      <c r="P120" s="1294"/>
      <c r="Q120" s="1294"/>
      <c r="R120" s="1289"/>
    </row>
    <row r="121" spans="1:18">
      <c r="A121" s="1289"/>
      <c r="B121" s="1289"/>
      <c r="C121" s="1292"/>
      <c r="D121" s="1293"/>
      <c r="E121" s="1293"/>
      <c r="F121" s="1293"/>
      <c r="G121" s="1293"/>
      <c r="H121" s="1293"/>
      <c r="I121" s="1293"/>
      <c r="J121" s="1293"/>
      <c r="K121" s="1293"/>
      <c r="L121" s="1293"/>
      <c r="M121" s="1293"/>
      <c r="N121" s="1293"/>
      <c r="O121" s="1294"/>
      <c r="P121" s="1294"/>
      <c r="Q121" s="1294"/>
      <c r="R121" s="1289"/>
    </row>
    <row r="122" spans="1:18">
      <c r="A122" s="1289"/>
      <c r="B122" s="1289"/>
      <c r="C122" s="1292"/>
      <c r="D122" s="1293"/>
      <c r="E122" s="1293"/>
      <c r="F122" s="1293"/>
      <c r="G122" s="1293"/>
      <c r="H122" s="1293"/>
      <c r="I122" s="1293"/>
      <c r="J122" s="1293"/>
      <c r="K122" s="1293"/>
      <c r="L122" s="1293"/>
      <c r="M122" s="1293"/>
      <c r="N122" s="1293"/>
      <c r="O122" s="1294"/>
      <c r="P122" s="1294"/>
      <c r="Q122" s="1294"/>
      <c r="R122" s="1289"/>
    </row>
    <row r="123" spans="1:18">
      <c r="A123" s="1289"/>
      <c r="B123" s="1289"/>
      <c r="C123" s="1292"/>
      <c r="D123" s="1293"/>
      <c r="E123" s="1293"/>
      <c r="F123" s="1293"/>
      <c r="G123" s="1293"/>
      <c r="H123" s="1293"/>
      <c r="I123" s="1293"/>
      <c r="J123" s="1293"/>
      <c r="K123" s="1293"/>
      <c r="L123" s="1293"/>
      <c r="M123" s="1293"/>
      <c r="N123" s="1293"/>
      <c r="O123" s="1294"/>
      <c r="P123" s="1294"/>
      <c r="Q123" s="1294"/>
      <c r="R123" s="1289"/>
    </row>
    <row r="124" spans="1:18">
      <c r="A124" s="1289"/>
      <c r="B124" s="1289"/>
      <c r="C124" s="1292"/>
      <c r="D124" s="1293"/>
      <c r="E124" s="1293"/>
      <c r="F124" s="1293"/>
      <c r="G124" s="1293"/>
      <c r="H124" s="1293"/>
      <c r="I124" s="1293"/>
      <c r="J124" s="1293"/>
      <c r="K124" s="1293"/>
      <c r="L124" s="1293"/>
      <c r="M124" s="1293"/>
      <c r="N124" s="1293"/>
      <c r="O124" s="1294"/>
      <c r="P124" s="1294"/>
      <c r="Q124" s="1294"/>
      <c r="R124" s="1289"/>
    </row>
    <row r="125" spans="1:18">
      <c r="A125" s="1289"/>
      <c r="B125" s="1289"/>
      <c r="C125" s="1292"/>
      <c r="D125" s="1293"/>
      <c r="E125" s="1293"/>
      <c r="F125" s="1293"/>
      <c r="G125" s="1293"/>
      <c r="H125" s="1293"/>
      <c r="I125" s="1293"/>
      <c r="J125" s="1293"/>
      <c r="K125" s="1293"/>
      <c r="L125" s="1293"/>
      <c r="M125" s="1293"/>
      <c r="N125" s="1293"/>
      <c r="O125" s="1294"/>
      <c r="P125" s="1294"/>
      <c r="Q125" s="1294"/>
      <c r="R125" s="1289"/>
    </row>
    <row r="126" spans="1:18">
      <c r="A126" s="1289"/>
      <c r="B126" s="1289"/>
      <c r="C126" s="1292"/>
      <c r="D126" s="1293"/>
      <c r="E126" s="1293"/>
      <c r="F126" s="1293"/>
      <c r="G126" s="1293"/>
      <c r="H126" s="1293"/>
      <c r="I126" s="1293"/>
      <c r="J126" s="1293"/>
      <c r="K126" s="1293"/>
      <c r="L126" s="1293"/>
      <c r="M126" s="1293"/>
      <c r="N126" s="1293"/>
      <c r="O126" s="1294"/>
      <c r="P126" s="1294"/>
      <c r="Q126" s="1294"/>
      <c r="R126" s="1289"/>
    </row>
    <row r="127" spans="1:18">
      <c r="A127" s="1289"/>
      <c r="B127" s="1289"/>
      <c r="C127" s="1292"/>
      <c r="D127" s="1293"/>
      <c r="E127" s="1293"/>
      <c r="F127" s="1293"/>
      <c r="G127" s="1293"/>
      <c r="H127" s="1293"/>
      <c r="I127" s="1293"/>
      <c r="J127" s="1293"/>
      <c r="K127" s="1293"/>
      <c r="L127" s="1293"/>
      <c r="M127" s="1293"/>
      <c r="N127" s="1293"/>
      <c r="O127" s="1294"/>
      <c r="P127" s="1294"/>
      <c r="Q127" s="1294"/>
      <c r="R127" s="1289"/>
    </row>
    <row r="128" spans="1:18">
      <c r="A128" s="1289"/>
      <c r="B128" s="1289"/>
      <c r="C128" s="1292"/>
      <c r="D128" s="1293"/>
      <c r="E128" s="1293"/>
      <c r="F128" s="1293"/>
      <c r="G128" s="1293"/>
      <c r="H128" s="1293"/>
      <c r="I128" s="1293"/>
      <c r="J128" s="1293"/>
      <c r="K128" s="1293"/>
      <c r="L128" s="1293"/>
      <c r="M128" s="1293"/>
      <c r="N128" s="1293"/>
      <c r="O128" s="1294"/>
      <c r="P128" s="1294"/>
      <c r="Q128" s="1294"/>
      <c r="R128" s="1289"/>
    </row>
    <row r="129" spans="1:18">
      <c r="A129" s="1289"/>
      <c r="B129" s="1289"/>
      <c r="C129" s="1292"/>
      <c r="D129" s="1293"/>
      <c r="E129" s="1293"/>
      <c r="F129" s="1293"/>
      <c r="G129" s="1293"/>
      <c r="H129" s="1293"/>
      <c r="I129" s="1293"/>
      <c r="J129" s="1293"/>
      <c r="K129" s="1293"/>
      <c r="L129" s="1293"/>
      <c r="M129" s="1293"/>
      <c r="N129" s="1293"/>
      <c r="O129" s="1294"/>
      <c r="P129" s="1294"/>
      <c r="Q129" s="1294"/>
      <c r="R129" s="1289"/>
    </row>
    <row r="130" spans="1:18">
      <c r="A130" s="1289"/>
      <c r="B130" s="1289"/>
      <c r="C130" s="1292"/>
      <c r="D130" s="1293"/>
      <c r="E130" s="1293"/>
      <c r="F130" s="1293"/>
      <c r="G130" s="1293"/>
      <c r="H130" s="1293"/>
      <c r="I130" s="1293"/>
      <c r="J130" s="1293"/>
      <c r="K130" s="1293"/>
      <c r="L130" s="1293"/>
      <c r="M130" s="1293"/>
      <c r="N130" s="1293"/>
      <c r="O130" s="1294"/>
      <c r="P130" s="1294"/>
      <c r="Q130" s="1294"/>
      <c r="R130" s="1289"/>
    </row>
    <row r="131" spans="1:18">
      <c r="A131" s="1289"/>
      <c r="B131" s="1289"/>
      <c r="C131" s="1292"/>
      <c r="D131" s="1293"/>
      <c r="E131" s="1293"/>
      <c r="F131" s="1293"/>
      <c r="G131" s="1293"/>
      <c r="H131" s="1293"/>
      <c r="I131" s="1293"/>
      <c r="J131" s="1293"/>
      <c r="K131" s="1293"/>
      <c r="L131" s="1293"/>
      <c r="M131" s="1293"/>
      <c r="N131" s="1293"/>
      <c r="O131" s="1294"/>
      <c r="P131" s="1294"/>
      <c r="Q131" s="1294"/>
      <c r="R131" s="1289"/>
    </row>
    <row r="132" spans="1:18">
      <c r="A132" s="1289"/>
      <c r="B132" s="1289"/>
      <c r="C132" s="1292"/>
      <c r="D132" s="1293"/>
      <c r="E132" s="1293"/>
      <c r="F132" s="1293"/>
      <c r="G132" s="1293"/>
      <c r="H132" s="1293"/>
      <c r="I132" s="1293"/>
      <c r="J132" s="1293"/>
      <c r="K132" s="1293"/>
      <c r="L132" s="1293"/>
      <c r="M132" s="1293"/>
      <c r="N132" s="1293"/>
      <c r="O132" s="1294"/>
      <c r="P132" s="1294"/>
      <c r="Q132" s="1294"/>
      <c r="R132" s="1289"/>
    </row>
    <row r="133" spans="1:18">
      <c r="A133" s="1289"/>
      <c r="B133" s="1289"/>
      <c r="C133" s="1292"/>
      <c r="D133" s="1293"/>
      <c r="E133" s="1293"/>
      <c r="F133" s="1293"/>
      <c r="G133" s="1293"/>
      <c r="H133" s="1293"/>
      <c r="I133" s="1293"/>
      <c r="J133" s="1293"/>
      <c r="K133" s="1293"/>
      <c r="L133" s="1293"/>
      <c r="M133" s="1293"/>
      <c r="N133" s="1293"/>
      <c r="O133" s="1294"/>
      <c r="P133" s="1294"/>
      <c r="Q133" s="1294"/>
      <c r="R133" s="1289"/>
    </row>
    <row r="134" spans="1:18">
      <c r="A134" s="1289"/>
      <c r="B134" s="1289"/>
      <c r="C134" s="1292"/>
      <c r="D134" s="1293"/>
      <c r="E134" s="1293"/>
      <c r="F134" s="1293"/>
      <c r="G134" s="1293"/>
      <c r="H134" s="1293"/>
      <c r="I134" s="1293"/>
      <c r="J134" s="1293"/>
      <c r="K134" s="1293"/>
      <c r="L134" s="1293"/>
      <c r="M134" s="1293"/>
      <c r="N134" s="1293"/>
      <c r="O134" s="1294"/>
      <c r="P134" s="1294"/>
      <c r="Q134" s="1294"/>
      <c r="R134" s="1289"/>
    </row>
    <row r="135" spans="1:18">
      <c r="A135" s="1289"/>
      <c r="B135" s="1289"/>
      <c r="C135" s="1292"/>
      <c r="D135" s="1293"/>
      <c r="E135" s="1293"/>
      <c r="F135" s="1293"/>
      <c r="G135" s="1293"/>
      <c r="H135" s="1293"/>
      <c r="I135" s="1293"/>
      <c r="J135" s="1293"/>
      <c r="K135" s="1293"/>
      <c r="L135" s="1293"/>
      <c r="M135" s="1293"/>
      <c r="N135" s="1293"/>
      <c r="O135" s="1294"/>
      <c r="P135" s="1294"/>
      <c r="Q135" s="1294"/>
      <c r="R135" s="1289"/>
    </row>
    <row r="136" spans="1:18">
      <c r="A136" s="1289"/>
      <c r="B136" s="1289"/>
      <c r="C136" s="1292"/>
      <c r="D136" s="1293"/>
      <c r="E136" s="1293"/>
      <c r="F136" s="1293"/>
      <c r="G136" s="1293"/>
      <c r="H136" s="1293"/>
      <c r="I136" s="1293"/>
      <c r="J136" s="1293"/>
      <c r="K136" s="1293"/>
      <c r="L136" s="1293"/>
      <c r="M136" s="1293"/>
      <c r="N136" s="1293"/>
      <c r="O136" s="1294"/>
      <c r="P136" s="1294"/>
      <c r="Q136" s="1294"/>
      <c r="R136" s="1289"/>
    </row>
    <row r="137" spans="1:18">
      <c r="A137" s="1289"/>
      <c r="B137" s="1289"/>
      <c r="C137" s="1292"/>
      <c r="D137" s="1293"/>
      <c r="E137" s="1293"/>
      <c r="F137" s="1293"/>
      <c r="G137" s="1293"/>
      <c r="H137" s="1293"/>
      <c r="I137" s="1293"/>
      <c r="J137" s="1293"/>
      <c r="K137" s="1293"/>
      <c r="L137" s="1293"/>
      <c r="M137" s="1293"/>
      <c r="N137" s="1293"/>
      <c r="O137" s="1294"/>
      <c r="P137" s="1294"/>
      <c r="Q137" s="1294"/>
      <c r="R137" s="1289"/>
    </row>
    <row r="138" spans="1:18">
      <c r="A138" s="1289"/>
      <c r="B138" s="1289"/>
      <c r="C138" s="1292"/>
      <c r="D138" s="1293"/>
      <c r="E138" s="1293"/>
      <c r="F138" s="1293"/>
      <c r="G138" s="1293"/>
      <c r="H138" s="1293"/>
      <c r="I138" s="1293"/>
      <c r="J138" s="1293"/>
      <c r="K138" s="1293"/>
      <c r="L138" s="1293"/>
      <c r="M138" s="1293"/>
      <c r="N138" s="1293"/>
      <c r="O138" s="1294"/>
      <c r="P138" s="1294"/>
      <c r="Q138" s="1294"/>
      <c r="R138" s="1289"/>
    </row>
    <row r="139" spans="1:18">
      <c r="A139" s="1289"/>
      <c r="B139" s="1289"/>
      <c r="C139" s="1292"/>
      <c r="D139" s="1293"/>
      <c r="E139" s="1293"/>
      <c r="F139" s="1293"/>
      <c r="G139" s="1293"/>
      <c r="H139" s="1293"/>
      <c r="I139" s="1293"/>
      <c r="J139" s="1293"/>
      <c r="K139" s="1293"/>
      <c r="L139" s="1293"/>
      <c r="M139" s="1293"/>
      <c r="N139" s="1293"/>
      <c r="O139" s="1294"/>
      <c r="P139" s="1294"/>
      <c r="Q139" s="1294"/>
      <c r="R139" s="1289"/>
    </row>
    <row r="140" spans="1:18">
      <c r="A140" s="1289"/>
      <c r="B140" s="1289"/>
      <c r="C140" s="1292"/>
      <c r="D140" s="1293"/>
      <c r="E140" s="1293"/>
      <c r="F140" s="1293"/>
      <c r="G140" s="1293"/>
      <c r="H140" s="1293"/>
      <c r="I140" s="1293"/>
      <c r="J140" s="1293"/>
      <c r="K140" s="1293"/>
      <c r="L140" s="1293"/>
      <c r="M140" s="1293"/>
      <c r="N140" s="1293"/>
      <c r="O140" s="1294"/>
      <c r="P140" s="1294"/>
      <c r="Q140" s="1294"/>
      <c r="R140" s="1289"/>
    </row>
    <row r="141" spans="1:18">
      <c r="A141" s="1289"/>
      <c r="B141" s="1289"/>
      <c r="C141" s="1292"/>
      <c r="D141" s="1293"/>
      <c r="E141" s="1293"/>
      <c r="F141" s="1293"/>
      <c r="G141" s="1293"/>
      <c r="H141" s="1293"/>
      <c r="I141" s="1293"/>
      <c r="J141" s="1293"/>
      <c r="K141" s="1293"/>
      <c r="L141" s="1293"/>
      <c r="M141" s="1293"/>
      <c r="N141" s="1293"/>
      <c r="O141" s="1294"/>
      <c r="P141" s="1294"/>
      <c r="Q141" s="1294"/>
      <c r="R141" s="1289"/>
    </row>
    <row r="142" spans="1:18">
      <c r="A142" s="1289"/>
      <c r="B142" s="1289"/>
      <c r="C142" s="1292"/>
      <c r="D142" s="1293"/>
      <c r="E142" s="1293"/>
      <c r="F142" s="1293"/>
      <c r="G142" s="1293"/>
      <c r="H142" s="1293"/>
      <c r="I142" s="1293"/>
      <c r="J142" s="1293"/>
      <c r="K142" s="1293"/>
      <c r="L142" s="1293"/>
      <c r="M142" s="1293"/>
      <c r="N142" s="1293"/>
      <c r="O142" s="1294"/>
      <c r="P142" s="1294"/>
      <c r="Q142" s="1294"/>
      <c r="R142" s="1289"/>
    </row>
    <row r="143" spans="1:18">
      <c r="A143" s="1289"/>
      <c r="B143" s="1289"/>
      <c r="C143" s="1292"/>
      <c r="D143" s="1293"/>
      <c r="E143" s="1293"/>
      <c r="F143" s="1293"/>
      <c r="G143" s="1293"/>
      <c r="H143" s="1293"/>
      <c r="I143" s="1293"/>
      <c r="J143" s="1293"/>
      <c r="K143" s="1293"/>
      <c r="L143" s="1293"/>
      <c r="M143" s="1293"/>
      <c r="N143" s="1293"/>
      <c r="O143" s="1294"/>
      <c r="P143" s="1294"/>
      <c r="Q143" s="1294"/>
      <c r="R143" s="1289"/>
    </row>
    <row r="144" spans="1:18">
      <c r="A144" s="1289"/>
      <c r="B144" s="1289"/>
      <c r="C144" s="1292"/>
      <c r="D144" s="1293"/>
      <c r="E144" s="1293"/>
      <c r="F144" s="1293"/>
      <c r="G144" s="1293"/>
      <c r="H144" s="1293"/>
      <c r="I144" s="1293"/>
      <c r="J144" s="1293"/>
      <c r="K144" s="1293"/>
      <c r="L144" s="1293"/>
      <c r="M144" s="1293"/>
      <c r="N144" s="1293"/>
      <c r="O144" s="1294"/>
      <c r="P144" s="1294"/>
      <c r="Q144" s="1294"/>
      <c r="R144" s="1289"/>
    </row>
    <row r="145" spans="1:24">
      <c r="A145" s="1289"/>
      <c r="B145" s="1289"/>
      <c r="C145" s="1292"/>
      <c r="D145" s="1293"/>
      <c r="E145" s="1293"/>
      <c r="F145" s="1293"/>
      <c r="G145" s="1293"/>
      <c r="H145" s="1293"/>
      <c r="I145" s="1293"/>
      <c r="J145" s="1293"/>
      <c r="K145" s="1293"/>
      <c r="L145" s="1293"/>
      <c r="M145" s="1293"/>
      <c r="N145" s="1293"/>
      <c r="O145" s="1294"/>
      <c r="P145" s="1294"/>
      <c r="Q145" s="1294"/>
      <c r="R145" s="1289"/>
    </row>
    <row r="146" spans="1:24">
      <c r="E146" s="1279" t="e">
        <f>#REF!+E68+#REF!+E71+E64</f>
        <v>#REF!</v>
      </c>
      <c r="I146" s="1279" t="e">
        <f>#REF!+I68+#REF!+I71+I64</f>
        <v>#REF!</v>
      </c>
      <c r="J146" s="1279" t="e">
        <f>#REF!+J68+#REF!+J71+J64</f>
        <v>#REF!</v>
      </c>
      <c r="O146" s="1279" t="e">
        <f>#REF!+O68+#REF!+O71+O64</f>
        <v>#REF!</v>
      </c>
      <c r="X146" s="1279" t="e">
        <f>SUM(X17:X64)</f>
        <v>#REF!</v>
      </c>
    </row>
    <row r="147" spans="1:24">
      <c r="D147" s="1295"/>
      <c r="X147" s="1279" t="e">
        <f>X146-#REF!</f>
        <v>#REF!</v>
      </c>
    </row>
    <row r="150" spans="1:24">
      <c r="C150" s="1279" t="s">
        <v>1757</v>
      </c>
    </row>
    <row r="151" spans="1:24">
      <c r="B151" s="1279" t="s">
        <v>91</v>
      </c>
      <c r="X151" s="1279" t="e">
        <f>#REF!+X48+X61</f>
        <v>#REF!</v>
      </c>
    </row>
    <row r="152" spans="1:24">
      <c r="B152" s="1260" t="s">
        <v>1003</v>
      </c>
      <c r="C152" s="970" t="s">
        <v>331</v>
      </c>
      <c r="D152" s="1260"/>
      <c r="E152" s="1260" t="s">
        <v>1752</v>
      </c>
      <c r="F152" s="1296"/>
      <c r="G152" s="1296"/>
      <c r="H152" s="1296"/>
      <c r="I152" s="1296"/>
      <c r="X152" s="1279" t="e">
        <f>X54+#REF!+#REF!</f>
        <v>#REF!</v>
      </c>
    </row>
    <row r="153" spans="1:24">
      <c r="B153" s="971">
        <v>1</v>
      </c>
      <c r="C153" s="972" t="s">
        <v>1754</v>
      </c>
      <c r="D153" s="971"/>
      <c r="E153" s="971">
        <f>O68+O71+TL_FY11!F55</f>
        <v>178</v>
      </c>
      <c r="F153" s="1297"/>
      <c r="G153" s="1297"/>
      <c r="H153" s="1297"/>
      <c r="I153" s="1297"/>
      <c r="X153" s="1279" t="e">
        <f>X151+X152</f>
        <v>#REF!</v>
      </c>
    </row>
    <row r="154" spans="1:24">
      <c r="B154" s="971">
        <v>2</v>
      </c>
      <c r="C154" s="972" t="s">
        <v>1755</v>
      </c>
      <c r="D154" s="1118"/>
      <c r="E154" s="1118" t="e">
        <f>#REF!+#REF!+O64+TL_FY11!F54</f>
        <v>#REF!</v>
      </c>
      <c r="F154" s="1298"/>
      <c r="G154" s="1298"/>
      <c r="H154" s="1298"/>
      <c r="I154" s="1298"/>
    </row>
    <row r="155" spans="1:24">
      <c r="B155" s="971">
        <v>3</v>
      </c>
      <c r="C155" s="972" t="s">
        <v>1753</v>
      </c>
      <c r="D155" s="1299"/>
      <c r="E155" s="2586">
        <v>0</v>
      </c>
      <c r="F155" s="1300"/>
      <c r="G155" s="1300"/>
      <c r="H155" s="1300"/>
      <c r="I155" s="1300"/>
    </row>
    <row r="156" spans="1:24">
      <c r="B156" s="971">
        <v>4</v>
      </c>
      <c r="C156" s="972" t="s">
        <v>1756</v>
      </c>
      <c r="D156" s="1301"/>
      <c r="E156" s="2587"/>
      <c r="F156" s="1300"/>
      <c r="G156" s="1300"/>
      <c r="H156" s="1300"/>
      <c r="I156" s="1300"/>
    </row>
    <row r="157" spans="1:24">
      <c r="B157" s="971">
        <v>5</v>
      </c>
      <c r="C157" s="1128" t="s">
        <v>287</v>
      </c>
      <c r="D157" s="1119"/>
      <c r="E157" s="1119" t="e">
        <f>SUM(E153:E155)</f>
        <v>#REF!</v>
      </c>
      <c r="F157" s="1302"/>
      <c r="G157" s="1302"/>
      <c r="H157" s="1302"/>
      <c r="I157" s="1302"/>
      <c r="O157" s="1295" t="e">
        <f>#REF!/10^2</f>
        <v>#REF!</v>
      </c>
      <c r="P157" s="1295"/>
      <c r="Q157" s="1295"/>
    </row>
    <row r="158" spans="1:24">
      <c r="B158" s="1303"/>
      <c r="C158" s="1303"/>
      <c r="D158" s="1303"/>
      <c r="E158" s="1303"/>
      <c r="F158" s="1303"/>
      <c r="G158" s="1303"/>
      <c r="H158" s="1303"/>
      <c r="I158" s="1303"/>
    </row>
    <row r="159" spans="1:24">
      <c r="B159" s="1303" t="s">
        <v>1750</v>
      </c>
      <c r="C159" s="1303"/>
      <c r="D159" s="1303"/>
      <c r="E159" s="1303"/>
      <c r="F159" s="1303"/>
      <c r="G159" s="1303"/>
      <c r="H159" s="1303"/>
      <c r="I159" s="1303"/>
    </row>
    <row r="160" spans="1:24">
      <c r="B160" s="1260" t="s">
        <v>1003</v>
      </c>
      <c r="C160" s="970" t="s">
        <v>331</v>
      </c>
      <c r="D160" s="1260"/>
      <c r="E160" s="1260" t="s">
        <v>1752</v>
      </c>
      <c r="F160" s="1296"/>
      <c r="G160" s="1296"/>
      <c r="H160" s="1296"/>
      <c r="I160" s="1296"/>
    </row>
    <row r="161" spans="2:14">
      <c r="B161" s="971">
        <v>1</v>
      </c>
      <c r="C161" s="972" t="s">
        <v>1755</v>
      </c>
      <c r="D161" s="1118"/>
      <c r="E161" s="1118" t="e">
        <f>#REF!+#REF!+#REF!+#REF!+#REF!+#REF!+#REF!+#REF!+#REF!+#REF!+#REF!+#REF!+#REF!+#REF!+#REF!+#REF!+#REF!+TL_FY11!F60</f>
        <v>#REF!</v>
      </c>
      <c r="F161" s="1298"/>
      <c r="G161" s="1298"/>
      <c r="H161" s="1298"/>
      <c r="I161" s="1298"/>
    </row>
    <row r="162" spans="2:14">
      <c r="B162" s="971">
        <v>2</v>
      </c>
      <c r="C162" s="972" t="s">
        <v>1754</v>
      </c>
      <c r="D162" s="1118"/>
      <c r="E162" s="971" t="e">
        <f>#REF!+TL_FY11!F61</f>
        <v>#REF!</v>
      </c>
      <c r="F162" s="1297"/>
      <c r="G162" s="1297"/>
      <c r="H162" s="1297"/>
      <c r="I162" s="1297"/>
    </row>
    <row r="163" spans="2:14">
      <c r="B163" s="971">
        <v>3</v>
      </c>
      <c r="C163" s="972" t="s">
        <v>1753</v>
      </c>
      <c r="D163" s="1299"/>
      <c r="E163" s="2586">
        <v>0</v>
      </c>
      <c r="F163" s="1300"/>
      <c r="G163" s="1300"/>
      <c r="H163" s="1300"/>
      <c r="I163" s="1300"/>
    </row>
    <row r="164" spans="2:14">
      <c r="B164" s="971">
        <v>4</v>
      </c>
      <c r="C164" s="972" t="s">
        <v>1756</v>
      </c>
      <c r="D164" s="1301"/>
      <c r="E164" s="2587"/>
      <c r="F164" s="1300"/>
      <c r="G164" s="1300"/>
      <c r="H164" s="1300"/>
      <c r="I164" s="1300"/>
    </row>
    <row r="165" spans="2:14">
      <c r="B165" s="971">
        <v>5</v>
      </c>
      <c r="C165" s="1128" t="s">
        <v>287</v>
      </c>
      <c r="D165" s="1119"/>
      <c r="E165" s="986" t="e">
        <f>SUM(E161:E162)</f>
        <v>#REF!</v>
      </c>
      <c r="F165" s="1300"/>
      <c r="G165" s="1300"/>
      <c r="H165" s="1300"/>
      <c r="I165" s="1300"/>
    </row>
    <row r="168" spans="2:14">
      <c r="B168" s="1303" t="s">
        <v>1759</v>
      </c>
    </row>
    <row r="170" spans="2:14">
      <c r="B170" s="1304" t="s">
        <v>2443</v>
      </c>
      <c r="C170" s="1304"/>
      <c r="D170" s="1304"/>
      <c r="E170" s="1304"/>
      <c r="F170" s="1304"/>
      <c r="G170" s="1304"/>
      <c r="H170" s="1304"/>
      <c r="I170" s="1304"/>
      <c r="J170" s="1304"/>
      <c r="K170" s="1304"/>
      <c r="L170" s="1304"/>
      <c r="M170" s="1304"/>
      <c r="N170" s="1304"/>
    </row>
    <row r="171" spans="2:14">
      <c r="B171" s="1304"/>
      <c r="C171" s="1304"/>
      <c r="D171" s="1304"/>
      <c r="E171" s="1304"/>
      <c r="F171" s="1304"/>
      <c r="G171" s="1304"/>
      <c r="H171" s="1304"/>
      <c r="I171" s="1304"/>
      <c r="J171" s="1304"/>
      <c r="K171" s="1304"/>
      <c r="L171" s="1304"/>
      <c r="M171" s="1304"/>
      <c r="N171" s="1304"/>
    </row>
    <row r="172" spans="2:14">
      <c r="B172" s="1305" t="s">
        <v>1003</v>
      </c>
      <c r="C172" s="1305" t="s">
        <v>331</v>
      </c>
      <c r="D172" s="1305"/>
      <c r="E172" s="1305" t="s">
        <v>1752</v>
      </c>
      <c r="F172" s="1306"/>
      <c r="G172" s="1306"/>
      <c r="H172" s="1306"/>
      <c r="I172" s="1306"/>
      <c r="J172" s="1304"/>
      <c r="K172" s="1304"/>
      <c r="L172" s="1304"/>
      <c r="M172" s="1304"/>
      <c r="N172" s="1304"/>
    </row>
    <row r="173" spans="2:14">
      <c r="B173" s="1307">
        <v>1</v>
      </c>
      <c r="C173" s="1308" t="s">
        <v>1755</v>
      </c>
      <c r="D173" s="1305"/>
      <c r="E173" s="1305" t="e">
        <f>#REF!+#REF!+O64</f>
        <v>#REF!</v>
      </c>
      <c r="F173" s="1306"/>
      <c r="G173" s="1306"/>
      <c r="H173" s="1306"/>
      <c r="I173" s="1306"/>
      <c r="J173" s="1304"/>
      <c r="K173" s="1304"/>
      <c r="L173" s="1304"/>
      <c r="M173" s="1304"/>
      <c r="N173" s="1304"/>
    </row>
    <row r="174" spans="2:14">
      <c r="B174" s="1307">
        <v>2</v>
      </c>
      <c r="C174" s="1308" t="s">
        <v>1754</v>
      </c>
      <c r="D174" s="1305"/>
      <c r="E174" s="1305">
        <f>O68+O71</f>
        <v>178</v>
      </c>
      <c r="F174" s="1306"/>
      <c r="G174" s="1306"/>
      <c r="H174" s="1306"/>
      <c r="I174" s="1306"/>
      <c r="J174" s="1304"/>
      <c r="K174" s="1304"/>
      <c r="L174" s="1304"/>
      <c r="M174" s="1304"/>
      <c r="N174" s="1304"/>
    </row>
    <row r="175" spans="2:14">
      <c r="B175" s="1307">
        <v>3</v>
      </c>
      <c r="C175" s="1308" t="s">
        <v>1753</v>
      </c>
      <c r="D175" s="1309"/>
      <c r="E175" s="2583">
        <v>0</v>
      </c>
      <c r="F175" s="1310"/>
      <c r="G175" s="1310"/>
      <c r="H175" s="1310"/>
      <c r="I175" s="1310"/>
      <c r="J175" s="1304"/>
      <c r="K175" s="1304"/>
      <c r="L175" s="1304"/>
      <c r="M175" s="1304"/>
      <c r="N175" s="1304"/>
    </row>
    <row r="176" spans="2:14">
      <c r="B176" s="1307">
        <v>4</v>
      </c>
      <c r="C176" s="1308" t="s">
        <v>1756</v>
      </c>
      <c r="D176" s="1311"/>
      <c r="E176" s="2584"/>
      <c r="F176" s="1310"/>
      <c r="G176" s="1310"/>
      <c r="H176" s="1310"/>
      <c r="I176" s="1310"/>
      <c r="J176" s="1304"/>
      <c r="K176" s="1304"/>
      <c r="L176" s="1304"/>
      <c r="M176" s="1304"/>
      <c r="N176" s="1304"/>
    </row>
    <row r="178" spans="2:14">
      <c r="B178" s="1279" t="s">
        <v>2066</v>
      </c>
    </row>
    <row r="179" spans="2:14">
      <c r="B179" s="1312" t="s">
        <v>1003</v>
      </c>
      <c r="C179" s="1312" t="s">
        <v>331</v>
      </c>
      <c r="D179" s="1313"/>
      <c r="E179" s="1313" t="s">
        <v>1752</v>
      </c>
      <c r="F179" s="1314"/>
      <c r="G179" s="1314"/>
      <c r="H179" s="1314"/>
      <c r="I179" s="1314"/>
      <c r="J179" s="1304"/>
      <c r="K179" s="1304"/>
      <c r="L179" s="1304"/>
      <c r="M179" s="1304"/>
      <c r="N179" s="1304"/>
    </row>
    <row r="180" spans="2:14">
      <c r="B180" s="1307">
        <v>1</v>
      </c>
      <c r="C180" s="1305" t="s">
        <v>1755</v>
      </c>
      <c r="D180" s="1307"/>
      <c r="E180" s="1307" t="e">
        <f>E173+TL_FY11!G69</f>
        <v>#REF!</v>
      </c>
      <c r="F180" s="1310"/>
      <c r="G180" s="1310"/>
      <c r="H180" s="1310"/>
      <c r="I180" s="1310"/>
      <c r="J180" s="1304"/>
      <c r="K180" s="1304"/>
      <c r="L180" s="1304"/>
      <c r="M180" s="1304"/>
      <c r="N180" s="1304"/>
    </row>
    <row r="181" spans="2:14">
      <c r="B181" s="1307">
        <v>2</v>
      </c>
      <c r="C181" s="1305" t="s">
        <v>1754</v>
      </c>
      <c r="D181" s="1307"/>
      <c r="E181" s="1307">
        <f>E174+TL_FY11!G70</f>
        <v>178</v>
      </c>
      <c r="F181" s="1310"/>
      <c r="G181" s="1310"/>
      <c r="H181" s="1310"/>
      <c r="I181" s="1310"/>
      <c r="J181" s="1304"/>
      <c r="K181" s="1304"/>
      <c r="L181" s="1304"/>
      <c r="M181" s="1304"/>
      <c r="N181" s="1304"/>
    </row>
    <row r="182" spans="2:14">
      <c r="B182" s="1307">
        <v>3</v>
      </c>
      <c r="C182" s="1305" t="s">
        <v>2445</v>
      </c>
      <c r="D182" s="1307"/>
      <c r="E182" s="2585">
        <f>E175</f>
        <v>0</v>
      </c>
      <c r="F182" s="1310"/>
      <c r="G182" s="1310"/>
      <c r="H182" s="1310"/>
      <c r="I182" s="1310"/>
      <c r="J182" s="1304"/>
      <c r="K182" s="1304"/>
      <c r="L182" s="1304"/>
      <c r="M182" s="1304"/>
      <c r="N182" s="1304"/>
    </row>
    <row r="183" spans="2:14">
      <c r="B183" s="1307">
        <v>4</v>
      </c>
      <c r="C183" s="1305" t="s">
        <v>1756</v>
      </c>
      <c r="D183" s="1307"/>
      <c r="E183" s="2585"/>
      <c r="F183" s="1310"/>
      <c r="G183" s="1310"/>
      <c r="H183" s="1310"/>
      <c r="I183" s="1310"/>
      <c r="J183" s="1304"/>
      <c r="K183" s="1304"/>
      <c r="L183" s="1304"/>
      <c r="M183" s="1304"/>
      <c r="N183" s="1304"/>
    </row>
    <row r="184" spans="2:14">
      <c r="B184" s="1307">
        <v>5</v>
      </c>
      <c r="C184" s="1305" t="s">
        <v>287</v>
      </c>
      <c r="D184" s="1315"/>
      <c r="E184" s="1315" t="e">
        <f>SUM(E180:E183)</f>
        <v>#REF!</v>
      </c>
      <c r="F184" s="1316"/>
      <c r="G184" s="1316"/>
      <c r="H184" s="1316"/>
      <c r="I184" s="1316"/>
      <c r="J184" s="1304"/>
      <c r="K184" s="1304"/>
      <c r="L184" s="1304"/>
      <c r="M184" s="1304"/>
      <c r="N184" s="1304"/>
    </row>
    <row r="186" spans="2:14">
      <c r="B186" s="1279" t="s">
        <v>1750</v>
      </c>
    </row>
    <row r="187" spans="2:14">
      <c r="B187" s="1305" t="s">
        <v>1003</v>
      </c>
      <c r="C187" s="1305" t="s">
        <v>331</v>
      </c>
      <c r="D187" s="1305"/>
      <c r="E187" s="1305" t="s">
        <v>1752</v>
      </c>
      <c r="F187" s="1306"/>
      <c r="G187" s="1306"/>
      <c r="H187" s="1306"/>
      <c r="I187" s="1306"/>
    </row>
    <row r="188" spans="2:14">
      <c r="B188" s="1307">
        <v>1</v>
      </c>
      <c r="C188" s="1308" t="s">
        <v>1755</v>
      </c>
      <c r="D188" s="1305"/>
      <c r="E188" s="1305"/>
      <c r="F188" s="1306"/>
      <c r="G188" s="1306"/>
      <c r="H188" s="1306"/>
      <c r="I188" s="1306"/>
    </row>
    <row r="189" spans="2:14">
      <c r="B189" s="1307">
        <v>2</v>
      </c>
      <c r="C189" s="1308" t="s">
        <v>1754</v>
      </c>
      <c r="D189" s="1305"/>
      <c r="E189" s="1305"/>
      <c r="F189" s="1306"/>
      <c r="G189" s="1306"/>
      <c r="H189" s="1306"/>
      <c r="I189" s="1306"/>
    </row>
    <row r="190" spans="2:14">
      <c r="B190" s="1307">
        <v>3</v>
      </c>
      <c r="C190" s="1308" t="s">
        <v>1753</v>
      </c>
      <c r="D190" s="1309"/>
      <c r="E190" s="2583"/>
      <c r="F190" s="1310"/>
      <c r="G190" s="1310"/>
      <c r="H190" s="1310"/>
      <c r="I190" s="1310"/>
    </row>
    <row r="191" spans="2:14">
      <c r="B191" s="1307">
        <v>4</v>
      </c>
      <c r="C191" s="1308" t="s">
        <v>1756</v>
      </c>
      <c r="D191" s="1311"/>
      <c r="E191" s="2584"/>
      <c r="F191" s="1310"/>
      <c r="G191" s="1310"/>
      <c r="H191" s="1310"/>
      <c r="I191" s="1310"/>
    </row>
    <row r="194" spans="2:9">
      <c r="B194" s="1312" t="s">
        <v>1003</v>
      </c>
      <c r="C194" s="1312" t="s">
        <v>331</v>
      </c>
      <c r="D194" s="1313"/>
      <c r="E194" s="1313" t="s">
        <v>1752</v>
      </c>
      <c r="F194" s="1314"/>
      <c r="G194" s="1314"/>
      <c r="H194" s="1314"/>
      <c r="I194" s="1314"/>
    </row>
    <row r="195" spans="2:9">
      <c r="B195" s="1307">
        <v>1</v>
      </c>
      <c r="C195" s="1305" t="s">
        <v>1755</v>
      </c>
      <c r="D195" s="1307"/>
      <c r="E195" s="1307"/>
      <c r="F195" s="1310"/>
      <c r="G195" s="1310"/>
      <c r="H195" s="1310"/>
      <c r="I195" s="1310"/>
    </row>
    <row r="196" spans="2:9">
      <c r="B196" s="1307">
        <v>2</v>
      </c>
      <c r="C196" s="1305" t="s">
        <v>1754</v>
      </c>
      <c r="D196" s="1307"/>
      <c r="E196" s="1307"/>
      <c r="F196" s="1310"/>
      <c r="G196" s="1310"/>
      <c r="H196" s="1310"/>
      <c r="I196" s="1310"/>
    </row>
    <row r="197" spans="2:9">
      <c r="B197" s="1307">
        <v>3</v>
      </c>
      <c r="C197" s="1305" t="s">
        <v>2445</v>
      </c>
      <c r="D197" s="1307"/>
      <c r="E197" s="2585"/>
      <c r="F197" s="1310"/>
      <c r="G197" s="1310"/>
      <c r="H197" s="1310"/>
      <c r="I197" s="1310"/>
    </row>
    <row r="198" spans="2:9">
      <c r="B198" s="1307">
        <v>4</v>
      </c>
      <c r="C198" s="1305" t="s">
        <v>1756</v>
      </c>
      <c r="D198" s="1307"/>
      <c r="E198" s="2585"/>
      <c r="F198" s="1310"/>
      <c r="G198" s="1310"/>
      <c r="H198" s="1310"/>
      <c r="I198" s="1310"/>
    </row>
  </sheetData>
  <mergeCells count="9">
    <mergeCell ref="A1:R1"/>
    <mergeCell ref="B65:S65"/>
    <mergeCell ref="A3:Q3"/>
    <mergeCell ref="E190:E191"/>
    <mergeCell ref="E197:E198"/>
    <mergeCell ref="E175:E176"/>
    <mergeCell ref="E182:E183"/>
    <mergeCell ref="E155:E156"/>
    <mergeCell ref="E163:E164"/>
  </mergeCells>
  <pageMargins left="0.70866141732283505" right="0.70866141732283505" top="0.74803149606299202" bottom="0.74803149606299202" header="0.31496062992126" footer="0.31496062992126"/>
  <pageSetup paperSize="9" scale="51" orientation="landscape" verticalDpi="300" r:id="rId1"/>
  <headerFooter differentFirst="1" scaleWithDoc="0" alignWithMargins="0">
    <oddFooter>&amp;CPage &amp;P</oddFooter>
  </headerFooter>
  <rowBreaks count="1" manualBreakCount="1">
    <brk id="45" max="16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S114"/>
  <sheetViews>
    <sheetView view="pageBreakPreview" zoomScale="60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sqref="A1:Q2"/>
    </sheetView>
  </sheetViews>
  <sheetFormatPr defaultRowHeight="15"/>
  <cols>
    <col min="1" max="1" width="9.140625" style="1267"/>
    <col min="2" max="2" width="25.7109375" style="1266" customWidth="1"/>
    <col min="3" max="3" width="12.7109375" style="1267" customWidth="1"/>
    <col min="4" max="8" width="12.42578125" style="1267" customWidth="1"/>
    <col min="9" max="9" width="12" style="1267" customWidth="1"/>
    <col min="10" max="10" width="13.140625" style="1267" customWidth="1"/>
    <col min="11" max="11" width="13.42578125" style="1267" customWidth="1"/>
    <col min="12" max="12" width="15.140625" style="1267" customWidth="1"/>
    <col min="13" max="13" width="12.7109375" style="1267" customWidth="1"/>
    <col min="14" max="14" width="11.140625" style="1267" customWidth="1"/>
    <col min="15" max="16" width="12.140625" style="1267" customWidth="1"/>
    <col min="17" max="17" width="19.42578125" style="1268" customWidth="1"/>
    <col min="18" max="16384" width="9.140625" style="1266"/>
  </cols>
  <sheetData>
    <row r="1" spans="1:17">
      <c r="A1" s="2588" t="s">
        <v>1976</v>
      </c>
      <c r="B1" s="2588"/>
      <c r="C1" s="2588"/>
      <c r="D1" s="2588"/>
      <c r="E1" s="2588"/>
      <c r="F1" s="2588"/>
      <c r="G1" s="2588"/>
      <c r="H1" s="2588"/>
      <c r="I1" s="2588"/>
      <c r="J1" s="2588"/>
      <c r="K1" s="2588"/>
      <c r="L1" s="2588"/>
      <c r="M1" s="2588"/>
      <c r="N1" s="2588"/>
      <c r="O1" s="2588"/>
      <c r="P1" s="2588"/>
      <c r="Q1" s="2588"/>
    </row>
    <row r="2" spans="1:17" ht="57">
      <c r="A2" s="1344" t="s">
        <v>1977</v>
      </c>
      <c r="B2" s="1345" t="s">
        <v>1978</v>
      </c>
      <c r="C2" s="1344" t="s">
        <v>2454</v>
      </c>
      <c r="D2" s="1344" t="s">
        <v>2452</v>
      </c>
      <c r="E2" s="1344" t="s">
        <v>2461</v>
      </c>
      <c r="F2" s="1344" t="s">
        <v>2455</v>
      </c>
      <c r="G2" s="1344"/>
      <c r="H2" s="1344"/>
      <c r="I2" s="1344" t="s">
        <v>1452</v>
      </c>
      <c r="J2" s="1344" t="s">
        <v>2473</v>
      </c>
      <c r="K2" s="1344" t="s">
        <v>2475</v>
      </c>
      <c r="L2" s="1344" t="s">
        <v>2461</v>
      </c>
      <c r="M2" s="1344" t="s">
        <v>2457</v>
      </c>
      <c r="N2" s="1344" t="s">
        <v>1453</v>
      </c>
      <c r="O2" s="1344" t="s">
        <v>2461</v>
      </c>
      <c r="P2" s="1344" t="s">
        <v>2459</v>
      </c>
      <c r="Q2" s="1346" t="s">
        <v>454</v>
      </c>
    </row>
    <row r="3" spans="1:17" ht="30">
      <c r="A3" s="1347">
        <v>1</v>
      </c>
      <c r="B3" s="1348" t="s">
        <v>1979</v>
      </c>
      <c r="C3" s="1339">
        <v>0</v>
      </c>
      <c r="D3" s="1339">
        <v>148.13999999999999</v>
      </c>
      <c r="E3" s="1339">
        <v>0</v>
      </c>
      <c r="F3" s="1339">
        <f>C3+D3-E3</f>
        <v>148.13999999999999</v>
      </c>
      <c r="G3" s="1339"/>
      <c r="H3" s="1339"/>
      <c r="I3" s="1339">
        <v>1131.8599999999999</v>
      </c>
      <c r="J3" s="1340">
        <f t="shared" ref="J3:J18" si="0">I3/$I$65*$J$65</f>
        <v>253.58161117725263</v>
      </c>
      <c r="K3" s="1340">
        <f>I3+J3</f>
        <v>1385.4416111772525</v>
      </c>
      <c r="L3" s="1340">
        <f>F3+K3</f>
        <v>1533.5816111772524</v>
      </c>
      <c r="M3" s="1340">
        <f t="shared" ref="M3:M18" si="1">F3+K3-L3</f>
        <v>0</v>
      </c>
      <c r="N3" s="1339">
        <v>0</v>
      </c>
      <c r="O3" s="1339">
        <v>0</v>
      </c>
      <c r="P3" s="1339">
        <f>M3+N3-O3</f>
        <v>0</v>
      </c>
      <c r="Q3" s="1349" t="s">
        <v>1980</v>
      </c>
    </row>
    <row r="4" spans="1:17" ht="45">
      <c r="A4" s="1347">
        <v>2</v>
      </c>
      <c r="B4" s="1350" t="s">
        <v>1981</v>
      </c>
      <c r="C4" s="1339">
        <v>0</v>
      </c>
      <c r="D4" s="1339">
        <v>659.71</v>
      </c>
      <c r="E4" s="1339">
        <v>0</v>
      </c>
      <c r="F4" s="1339">
        <f t="shared" ref="F4:F48" si="2">C4+D4-E4</f>
        <v>659.71</v>
      </c>
      <c r="G4" s="1339">
        <v>538.29</v>
      </c>
      <c r="H4" s="1339">
        <f>I4-G4</f>
        <v>0</v>
      </c>
      <c r="I4" s="1339">
        <v>538.29</v>
      </c>
      <c r="J4" s="1340">
        <f t="shared" si="0"/>
        <v>120.59834739332013</v>
      </c>
      <c r="K4" s="1340">
        <f t="shared" ref="K4:K63" si="3">I4+J4</f>
        <v>658.88834739332015</v>
      </c>
      <c r="L4" s="1340">
        <f>F4+K4</f>
        <v>1318.5983473933202</v>
      </c>
      <c r="M4" s="1340">
        <f t="shared" si="1"/>
        <v>0</v>
      </c>
      <c r="N4" s="1339">
        <v>0</v>
      </c>
      <c r="O4" s="1341">
        <v>0</v>
      </c>
      <c r="P4" s="1339">
        <f t="shared" ref="P4:P48" si="4">M4+N4-O4</f>
        <v>0</v>
      </c>
      <c r="Q4" s="1349" t="s">
        <v>1980</v>
      </c>
    </row>
    <row r="5" spans="1:17" ht="30">
      <c r="A5" s="1347">
        <v>3</v>
      </c>
      <c r="B5" s="1350" t="s">
        <v>1982</v>
      </c>
      <c r="C5" s="1339">
        <v>0</v>
      </c>
      <c r="D5" s="1339">
        <v>830.89</v>
      </c>
      <c r="E5" s="1339">
        <v>0</v>
      </c>
      <c r="F5" s="1339">
        <f t="shared" si="2"/>
        <v>830.89</v>
      </c>
      <c r="G5" s="1339">
        <v>449.11</v>
      </c>
      <c r="H5" s="1339">
        <f t="shared" ref="H5:H14" si="5">I5-G5</f>
        <v>0</v>
      </c>
      <c r="I5" s="1339">
        <v>449.11</v>
      </c>
      <c r="J5" s="1340">
        <f t="shared" si="0"/>
        <v>100.61848408444149</v>
      </c>
      <c r="K5" s="1340">
        <f t="shared" si="3"/>
        <v>549.72848408444156</v>
      </c>
      <c r="L5" s="1340">
        <f t="shared" ref="L5:L15" si="6">F5+K5</f>
        <v>1380.6184840844417</v>
      </c>
      <c r="M5" s="1340">
        <f t="shared" si="1"/>
        <v>0</v>
      </c>
      <c r="N5" s="1339">
        <v>0</v>
      </c>
      <c r="O5" s="1341">
        <v>0</v>
      </c>
      <c r="P5" s="1339">
        <f t="shared" si="4"/>
        <v>0</v>
      </c>
      <c r="Q5" s="1349" t="s">
        <v>1984</v>
      </c>
    </row>
    <row r="6" spans="1:17" ht="45">
      <c r="A6" s="1347">
        <v>4</v>
      </c>
      <c r="B6" s="1350" t="s">
        <v>1985</v>
      </c>
      <c r="C6" s="1339">
        <v>0</v>
      </c>
      <c r="D6" s="1339">
        <v>654.79</v>
      </c>
      <c r="E6" s="1339">
        <v>0</v>
      </c>
      <c r="F6" s="1339">
        <f t="shared" si="2"/>
        <v>654.79</v>
      </c>
      <c r="G6" s="1339">
        <v>417.21</v>
      </c>
      <c r="H6" s="1339">
        <f t="shared" si="5"/>
        <v>0</v>
      </c>
      <c r="I6" s="1339">
        <v>417.21</v>
      </c>
      <c r="J6" s="1340">
        <f t="shared" si="0"/>
        <v>93.4716166303797</v>
      </c>
      <c r="K6" s="1340">
        <f t="shared" si="3"/>
        <v>510.68161663037966</v>
      </c>
      <c r="L6" s="1340">
        <f t="shared" si="6"/>
        <v>1165.4716166303797</v>
      </c>
      <c r="M6" s="1340">
        <f t="shared" si="1"/>
        <v>0</v>
      </c>
      <c r="N6" s="1339">
        <v>0</v>
      </c>
      <c r="O6" s="1341">
        <v>0</v>
      </c>
      <c r="P6" s="1339">
        <f t="shared" si="4"/>
        <v>0</v>
      </c>
      <c r="Q6" s="1349" t="s">
        <v>1986</v>
      </c>
    </row>
    <row r="7" spans="1:17" ht="30">
      <c r="A7" s="1347">
        <v>5</v>
      </c>
      <c r="B7" s="1351" t="s">
        <v>1987</v>
      </c>
      <c r="C7" s="1339">
        <v>0</v>
      </c>
      <c r="D7" s="1339">
        <v>895.3</v>
      </c>
      <c r="E7" s="1339">
        <v>0</v>
      </c>
      <c r="F7" s="1339">
        <f t="shared" si="2"/>
        <v>895.3</v>
      </c>
      <c r="G7" s="1339">
        <v>178.7</v>
      </c>
      <c r="H7" s="1339">
        <f t="shared" si="5"/>
        <v>0</v>
      </c>
      <c r="I7" s="1339">
        <v>178.7</v>
      </c>
      <c r="J7" s="1340">
        <f t="shared" si="0"/>
        <v>40.035900126672068</v>
      </c>
      <c r="K7" s="1340">
        <f t="shared" si="3"/>
        <v>218.73590012667205</v>
      </c>
      <c r="L7" s="1340">
        <f t="shared" si="6"/>
        <v>1114.035900126672</v>
      </c>
      <c r="M7" s="1340">
        <f t="shared" si="1"/>
        <v>0</v>
      </c>
      <c r="N7" s="1339">
        <v>0</v>
      </c>
      <c r="O7" s="1341">
        <v>0</v>
      </c>
      <c r="P7" s="1339">
        <f t="shared" si="4"/>
        <v>0</v>
      </c>
      <c r="Q7" s="1349" t="s">
        <v>1986</v>
      </c>
    </row>
    <row r="8" spans="1:17" ht="45">
      <c r="A8" s="1347">
        <v>6</v>
      </c>
      <c r="B8" s="1348" t="s">
        <v>1988</v>
      </c>
      <c r="C8" s="1339">
        <v>0</v>
      </c>
      <c r="D8" s="1339">
        <v>0</v>
      </c>
      <c r="E8" s="1339">
        <v>0</v>
      </c>
      <c r="F8" s="1339">
        <f t="shared" si="2"/>
        <v>0</v>
      </c>
      <c r="G8" s="1339">
        <v>1033</v>
      </c>
      <c r="H8" s="1339">
        <f t="shared" si="5"/>
        <v>0</v>
      </c>
      <c r="I8" s="1339">
        <v>1033</v>
      </c>
      <c r="J8" s="1340">
        <f t="shared" si="0"/>
        <v>231.43304326162422</v>
      </c>
      <c r="K8" s="1340">
        <f t="shared" si="3"/>
        <v>1264.4330432616243</v>
      </c>
      <c r="L8" s="1340">
        <f t="shared" si="6"/>
        <v>1264.4330432616243</v>
      </c>
      <c r="M8" s="1340">
        <f t="shared" si="1"/>
        <v>0</v>
      </c>
      <c r="N8" s="1340">
        <v>115</v>
      </c>
      <c r="O8" s="1342">
        <v>115</v>
      </c>
      <c r="P8" s="1339">
        <f t="shared" si="4"/>
        <v>0</v>
      </c>
      <c r="Q8" s="1349" t="s">
        <v>1989</v>
      </c>
    </row>
    <row r="9" spans="1:17" ht="30">
      <c r="A9" s="1347">
        <v>7</v>
      </c>
      <c r="B9" s="1350" t="s">
        <v>1990</v>
      </c>
      <c r="C9" s="1339">
        <v>0</v>
      </c>
      <c r="D9" s="1339">
        <v>1207.08</v>
      </c>
      <c r="E9" s="1339">
        <v>0</v>
      </c>
      <c r="F9" s="1339">
        <f t="shared" si="2"/>
        <v>1207.08</v>
      </c>
      <c r="G9" s="1339">
        <v>99.92</v>
      </c>
      <c r="H9" s="1339">
        <f t="shared" si="5"/>
        <v>0</v>
      </c>
      <c r="I9" s="1339">
        <v>99.92</v>
      </c>
      <c r="J9" s="1340">
        <f t="shared" si="0"/>
        <v>22.386050031656815</v>
      </c>
      <c r="K9" s="1340">
        <f t="shared" si="3"/>
        <v>122.30605003165681</v>
      </c>
      <c r="L9" s="1340">
        <f t="shared" si="6"/>
        <v>1329.3860500316569</v>
      </c>
      <c r="M9" s="1340">
        <f t="shared" si="1"/>
        <v>0</v>
      </c>
      <c r="N9" s="1339">
        <v>0</v>
      </c>
      <c r="O9" s="1341">
        <v>0</v>
      </c>
      <c r="P9" s="1339">
        <f t="shared" si="4"/>
        <v>0</v>
      </c>
      <c r="Q9" s="1352" t="s">
        <v>1991</v>
      </c>
    </row>
    <row r="10" spans="1:17" ht="45">
      <c r="A10" s="1347">
        <v>8</v>
      </c>
      <c r="B10" s="1350" t="s">
        <v>1992</v>
      </c>
      <c r="C10" s="1339">
        <v>0</v>
      </c>
      <c r="D10" s="1339">
        <v>1068.71</v>
      </c>
      <c r="E10" s="1339">
        <v>0</v>
      </c>
      <c r="F10" s="1339">
        <f t="shared" si="2"/>
        <v>1068.71</v>
      </c>
      <c r="G10" s="1339">
        <v>5.29</v>
      </c>
      <c r="H10" s="1339">
        <f t="shared" si="5"/>
        <v>0</v>
      </c>
      <c r="I10" s="1339">
        <v>5.29</v>
      </c>
      <c r="J10" s="1340">
        <f t="shared" si="0"/>
        <v>1.1851701828209023</v>
      </c>
      <c r="K10" s="1340">
        <f t="shared" si="3"/>
        <v>6.4751701828209018</v>
      </c>
      <c r="L10" s="1340">
        <f t="shared" si="6"/>
        <v>1075.1851701828209</v>
      </c>
      <c r="M10" s="1340">
        <f t="shared" si="1"/>
        <v>0</v>
      </c>
      <c r="N10" s="1339">
        <v>0</v>
      </c>
      <c r="O10" s="1341">
        <v>0</v>
      </c>
      <c r="P10" s="1339">
        <f t="shared" si="4"/>
        <v>0</v>
      </c>
      <c r="Q10" s="1349" t="s">
        <v>1980</v>
      </c>
    </row>
    <row r="11" spans="1:17" ht="45">
      <c r="A11" s="1347">
        <v>9</v>
      </c>
      <c r="B11" s="1350" t="s">
        <v>1993</v>
      </c>
      <c r="C11" s="1339">
        <v>0</v>
      </c>
      <c r="D11" s="1339">
        <v>572.45000000000005</v>
      </c>
      <c r="E11" s="1339">
        <v>0</v>
      </c>
      <c r="F11" s="1339">
        <f t="shared" si="2"/>
        <v>572.45000000000005</v>
      </c>
      <c r="G11" s="1339">
        <v>295.55</v>
      </c>
      <c r="H11" s="1339">
        <f t="shared" si="5"/>
        <v>0</v>
      </c>
      <c r="I11" s="1339">
        <v>295.55</v>
      </c>
      <c r="J11" s="1340">
        <f t="shared" si="0"/>
        <v>66.214942822819978</v>
      </c>
      <c r="K11" s="1340">
        <f t="shared" si="3"/>
        <v>361.76494282281999</v>
      </c>
      <c r="L11" s="1340">
        <f t="shared" si="6"/>
        <v>934.21494282282003</v>
      </c>
      <c r="M11" s="1340">
        <f t="shared" si="1"/>
        <v>0</v>
      </c>
      <c r="N11" s="1339">
        <v>0</v>
      </c>
      <c r="O11" s="1341">
        <v>0</v>
      </c>
      <c r="P11" s="1339">
        <f t="shared" si="4"/>
        <v>0</v>
      </c>
      <c r="Q11" s="1349" t="s">
        <v>1994</v>
      </c>
    </row>
    <row r="12" spans="1:17" ht="45">
      <c r="A12" s="1347">
        <v>10</v>
      </c>
      <c r="B12" s="1350" t="s">
        <v>1995</v>
      </c>
      <c r="C12" s="1339">
        <v>0</v>
      </c>
      <c r="D12" s="1339">
        <v>588.07000000000005</v>
      </c>
      <c r="E12" s="1339">
        <v>0</v>
      </c>
      <c r="F12" s="1339">
        <f t="shared" si="2"/>
        <v>588.07000000000005</v>
      </c>
      <c r="G12" s="1339">
        <v>297.93</v>
      </c>
      <c r="H12" s="1339">
        <f t="shared" si="5"/>
        <v>0</v>
      </c>
      <c r="I12" s="1339">
        <v>297.93</v>
      </c>
      <c r="J12" s="1340">
        <f t="shared" si="0"/>
        <v>66.748157385223337</v>
      </c>
      <c r="K12" s="1340">
        <f t="shared" si="3"/>
        <v>364.67815738522336</v>
      </c>
      <c r="L12" s="1340">
        <f t="shared" si="6"/>
        <v>952.74815738522341</v>
      </c>
      <c r="M12" s="1340">
        <f t="shared" si="1"/>
        <v>0</v>
      </c>
      <c r="N12" s="1339">
        <v>0</v>
      </c>
      <c r="O12" s="1341">
        <v>0</v>
      </c>
      <c r="P12" s="1339">
        <f t="shared" si="4"/>
        <v>0</v>
      </c>
      <c r="Q12" s="1352" t="s">
        <v>1996</v>
      </c>
    </row>
    <row r="13" spans="1:17" ht="45">
      <c r="A13" s="1347">
        <v>11</v>
      </c>
      <c r="B13" s="1348" t="s">
        <v>1997</v>
      </c>
      <c r="C13" s="1339">
        <v>0</v>
      </c>
      <c r="D13" s="1339">
        <v>672.92</v>
      </c>
      <c r="E13" s="1339">
        <v>0</v>
      </c>
      <c r="F13" s="1339">
        <f t="shared" si="2"/>
        <v>672.92</v>
      </c>
      <c r="G13" s="1339">
        <v>697.08</v>
      </c>
      <c r="H13" s="1339">
        <f t="shared" si="5"/>
        <v>0</v>
      </c>
      <c r="I13" s="1339">
        <v>697.08</v>
      </c>
      <c r="J13" s="1340">
        <f t="shared" si="0"/>
        <v>156.17361645383642</v>
      </c>
      <c r="K13" s="1340">
        <f t="shared" si="3"/>
        <v>853.25361645383646</v>
      </c>
      <c r="L13" s="1340">
        <f t="shared" si="6"/>
        <v>1526.1736164538365</v>
      </c>
      <c r="M13" s="1340">
        <f t="shared" si="1"/>
        <v>0</v>
      </c>
      <c r="N13" s="1339">
        <v>0</v>
      </c>
      <c r="O13" s="1341">
        <v>0</v>
      </c>
      <c r="P13" s="1339">
        <f t="shared" si="4"/>
        <v>0</v>
      </c>
      <c r="Q13" s="1352" t="s">
        <v>1996</v>
      </c>
    </row>
    <row r="14" spans="1:17" ht="45">
      <c r="A14" s="1347">
        <v>12</v>
      </c>
      <c r="B14" s="1348" t="s">
        <v>1998</v>
      </c>
      <c r="C14" s="1339">
        <v>0</v>
      </c>
      <c r="D14" s="1339">
        <v>568.15</v>
      </c>
      <c r="E14" s="1339">
        <v>0</v>
      </c>
      <c r="F14" s="1339">
        <f t="shared" si="2"/>
        <v>568.15</v>
      </c>
      <c r="G14" s="1339">
        <v>299.85000000000002</v>
      </c>
      <c r="H14" s="1339">
        <f t="shared" si="5"/>
        <v>0</v>
      </c>
      <c r="I14" s="1339">
        <v>299.85000000000002</v>
      </c>
      <c r="J14" s="1340">
        <f t="shared" si="0"/>
        <v>67.178313670859652</v>
      </c>
      <c r="K14" s="1340">
        <f t="shared" si="3"/>
        <v>367.02831367085969</v>
      </c>
      <c r="L14" s="1340">
        <f t="shared" si="6"/>
        <v>935.17831367085967</v>
      </c>
      <c r="M14" s="1340">
        <f t="shared" si="1"/>
        <v>0</v>
      </c>
      <c r="N14" s="1339">
        <v>0</v>
      </c>
      <c r="O14" s="1341">
        <v>0</v>
      </c>
      <c r="P14" s="1339">
        <f t="shared" si="4"/>
        <v>0</v>
      </c>
      <c r="Q14" s="1349" t="s">
        <v>1999</v>
      </c>
    </row>
    <row r="15" spans="1:17" ht="45">
      <c r="A15" s="1347">
        <v>13</v>
      </c>
      <c r="B15" s="1348" t="s">
        <v>2000</v>
      </c>
      <c r="C15" s="1339">
        <v>0</v>
      </c>
      <c r="D15" s="1339">
        <v>514.39</v>
      </c>
      <c r="E15" s="1339">
        <v>0</v>
      </c>
      <c r="F15" s="1339">
        <f t="shared" si="2"/>
        <v>514.39</v>
      </c>
      <c r="G15" s="1339">
        <v>371.61</v>
      </c>
      <c r="H15" s="1339"/>
      <c r="I15" s="1339">
        <v>371.61</v>
      </c>
      <c r="J15" s="1340">
        <f t="shared" si="0"/>
        <v>83.255404846517123</v>
      </c>
      <c r="K15" s="1340">
        <f t="shared" si="3"/>
        <v>454.86540484651715</v>
      </c>
      <c r="L15" s="1340">
        <f t="shared" si="6"/>
        <v>969.25540484651719</v>
      </c>
      <c r="M15" s="1340">
        <f t="shared" si="1"/>
        <v>0</v>
      </c>
      <c r="N15" s="1339">
        <v>0</v>
      </c>
      <c r="O15" s="1341">
        <v>0</v>
      </c>
      <c r="P15" s="1339">
        <f t="shared" si="4"/>
        <v>0</v>
      </c>
      <c r="Q15" s="1349" t="s">
        <v>2001</v>
      </c>
    </row>
    <row r="16" spans="1:17" ht="45">
      <c r="A16" s="1347">
        <v>14</v>
      </c>
      <c r="B16" s="1353" t="s">
        <v>2002</v>
      </c>
      <c r="C16" s="1339">
        <v>0</v>
      </c>
      <c r="D16" s="1339">
        <v>0</v>
      </c>
      <c r="E16" s="1339">
        <v>0</v>
      </c>
      <c r="F16" s="1339">
        <f t="shared" si="2"/>
        <v>0</v>
      </c>
      <c r="G16" s="1339"/>
      <c r="H16" s="1339"/>
      <c r="I16" s="1339">
        <v>700</v>
      </c>
      <c r="J16" s="1340">
        <f t="shared" si="0"/>
        <v>156.82781247157496</v>
      </c>
      <c r="K16" s="1340">
        <f t="shared" si="3"/>
        <v>856.82781247157493</v>
      </c>
      <c r="L16" s="1339">
        <v>0</v>
      </c>
      <c r="M16" s="1340">
        <f t="shared" si="1"/>
        <v>856.82781247157493</v>
      </c>
      <c r="N16" s="1340">
        <v>627</v>
      </c>
      <c r="O16" s="1342">
        <f>M16+N16</f>
        <v>1483.8278124715748</v>
      </c>
      <c r="P16" s="1340">
        <f t="shared" si="4"/>
        <v>0</v>
      </c>
      <c r="Q16" s="1349" t="s">
        <v>2003</v>
      </c>
    </row>
    <row r="17" spans="1:17" ht="45">
      <c r="A17" s="1347">
        <v>15</v>
      </c>
      <c r="B17" s="1350" t="s">
        <v>2004</v>
      </c>
      <c r="C17" s="1339">
        <v>0</v>
      </c>
      <c r="D17" s="1339">
        <v>0</v>
      </c>
      <c r="E17" s="1339">
        <v>0</v>
      </c>
      <c r="F17" s="1339">
        <f t="shared" si="2"/>
        <v>0</v>
      </c>
      <c r="G17" s="1339"/>
      <c r="H17" s="1339"/>
      <c r="I17" s="1339">
        <v>500</v>
      </c>
      <c r="J17" s="1340">
        <f t="shared" si="0"/>
        <v>112.01986605112498</v>
      </c>
      <c r="K17" s="1340">
        <f t="shared" si="3"/>
        <v>612.01986605112495</v>
      </c>
      <c r="L17" s="1339">
        <v>0</v>
      </c>
      <c r="M17" s="1340">
        <f t="shared" si="1"/>
        <v>612.01986605112495</v>
      </c>
      <c r="N17" s="1340">
        <v>827</v>
      </c>
      <c r="O17" s="1342">
        <f>M17+N17</f>
        <v>1439.0198660511251</v>
      </c>
      <c r="P17" s="1340">
        <f t="shared" si="4"/>
        <v>0</v>
      </c>
      <c r="Q17" s="1349" t="s">
        <v>2005</v>
      </c>
    </row>
    <row r="18" spans="1:17" ht="45">
      <c r="A18" s="1347">
        <v>16</v>
      </c>
      <c r="B18" s="1348" t="s">
        <v>2006</v>
      </c>
      <c r="C18" s="1339">
        <v>0</v>
      </c>
      <c r="D18" s="1339">
        <v>25.67</v>
      </c>
      <c r="E18" s="1339">
        <v>0</v>
      </c>
      <c r="F18" s="1339">
        <f t="shared" si="2"/>
        <v>25.67</v>
      </c>
      <c r="G18" s="1339"/>
      <c r="H18" s="1339"/>
      <c r="I18" s="1339">
        <v>860.33</v>
      </c>
      <c r="J18" s="1340">
        <f t="shared" si="0"/>
        <v>192.7481027195287</v>
      </c>
      <c r="K18" s="1340">
        <f t="shared" si="3"/>
        <v>1053.0781027195287</v>
      </c>
      <c r="L18" s="1340">
        <f>F18+K18</f>
        <v>1078.7481027195288</v>
      </c>
      <c r="M18" s="1340">
        <f t="shared" si="1"/>
        <v>0</v>
      </c>
      <c r="N18" s="1340">
        <v>0</v>
      </c>
      <c r="O18" s="1342">
        <v>0</v>
      </c>
      <c r="P18" s="1340">
        <f t="shared" si="4"/>
        <v>0</v>
      </c>
      <c r="Q18" s="1349" t="s">
        <v>1980</v>
      </c>
    </row>
    <row r="19" spans="1:17">
      <c r="A19" s="1347"/>
      <c r="B19" s="1350"/>
      <c r="C19" s="1339"/>
      <c r="D19" s="1339"/>
      <c r="E19" s="1339"/>
      <c r="F19" s="1339"/>
      <c r="G19" s="1339"/>
      <c r="H19" s="1339"/>
      <c r="I19" s="1339"/>
      <c r="J19" s="1340"/>
      <c r="K19" s="1340"/>
      <c r="L19" s="1339"/>
      <c r="M19" s="1340"/>
      <c r="N19" s="1340"/>
      <c r="O19" s="1342"/>
      <c r="P19" s="1340"/>
      <c r="Q19" s="1349"/>
    </row>
    <row r="20" spans="1:17">
      <c r="A20" s="1347"/>
      <c r="B20" s="1348"/>
      <c r="C20" s="1339"/>
      <c r="D20" s="1339"/>
      <c r="E20" s="1339"/>
      <c r="F20" s="1339"/>
      <c r="G20" s="1339"/>
      <c r="H20" s="1339"/>
      <c r="I20" s="1339"/>
      <c r="J20" s="1340"/>
      <c r="K20" s="1340"/>
      <c r="L20" s="1340"/>
      <c r="M20" s="1340"/>
      <c r="N20" s="1340"/>
      <c r="O20" s="1342"/>
      <c r="P20" s="1340"/>
      <c r="Q20" s="1349"/>
    </row>
    <row r="21" spans="1:17">
      <c r="A21" s="1347"/>
      <c r="B21" s="1348"/>
      <c r="C21" s="1339"/>
      <c r="D21" s="1339"/>
      <c r="E21" s="1339"/>
      <c r="F21" s="1339"/>
      <c r="G21" s="1339"/>
      <c r="H21" s="1339"/>
      <c r="I21" s="1339"/>
      <c r="J21" s="1340"/>
      <c r="K21" s="1340"/>
      <c r="L21" s="1340"/>
      <c r="M21" s="1340"/>
      <c r="N21" s="1340"/>
      <c r="O21" s="1342"/>
      <c r="P21" s="1340"/>
      <c r="Q21" s="1352"/>
    </row>
    <row r="22" spans="1:17" ht="45">
      <c r="A22" s="1347">
        <v>20</v>
      </c>
      <c r="B22" s="1348" t="s">
        <v>2007</v>
      </c>
      <c r="C22" s="1339">
        <v>0</v>
      </c>
      <c r="D22" s="1339">
        <v>21.68</v>
      </c>
      <c r="E22" s="1339">
        <v>0</v>
      </c>
      <c r="F22" s="1339">
        <f t="shared" si="2"/>
        <v>21.68</v>
      </c>
      <c r="G22" s="1339"/>
      <c r="H22" s="1339"/>
      <c r="I22" s="1339">
        <v>850.32</v>
      </c>
      <c r="J22" s="1340">
        <f t="shared" ref="J22:J60" si="7">I22/$I$65*$J$65</f>
        <v>190.5054650011852</v>
      </c>
      <c r="K22" s="1340">
        <f t="shared" si="3"/>
        <v>1040.8254650011852</v>
      </c>
      <c r="L22" s="1340">
        <f>F22+K22</f>
        <v>1062.5054650011853</v>
      </c>
      <c r="M22" s="1340">
        <f t="shared" ref="M22:M27" si="8">F22+K22-L22</f>
        <v>0</v>
      </c>
      <c r="N22" s="1340">
        <v>200</v>
      </c>
      <c r="O22" s="1342">
        <f>N22</f>
        <v>200</v>
      </c>
      <c r="P22" s="1340">
        <f t="shared" si="4"/>
        <v>0</v>
      </c>
      <c r="Q22" s="1352" t="s">
        <v>1989</v>
      </c>
    </row>
    <row r="23" spans="1:17" ht="45">
      <c r="A23" s="1347">
        <v>21</v>
      </c>
      <c r="B23" s="1350" t="s">
        <v>2008</v>
      </c>
      <c r="C23" s="1339">
        <v>0</v>
      </c>
      <c r="D23" s="1339">
        <v>0</v>
      </c>
      <c r="E23" s="1339">
        <v>0</v>
      </c>
      <c r="F23" s="1339">
        <f t="shared" si="2"/>
        <v>0</v>
      </c>
      <c r="G23" s="1339"/>
      <c r="H23" s="1339"/>
      <c r="I23" s="1339">
        <v>1500</v>
      </c>
      <c r="J23" s="1340">
        <f t="shared" si="7"/>
        <v>336.05959815337496</v>
      </c>
      <c r="K23" s="1340">
        <f t="shared" si="3"/>
        <v>1836.059598153375</v>
      </c>
      <c r="L23" s="1340">
        <f>F23+K23</f>
        <v>1836.059598153375</v>
      </c>
      <c r="M23" s="1340">
        <f t="shared" si="8"/>
        <v>0</v>
      </c>
      <c r="N23" s="1340">
        <v>682</v>
      </c>
      <c r="O23" s="1342">
        <f>N23</f>
        <v>682</v>
      </c>
      <c r="P23" s="1340">
        <f t="shared" si="4"/>
        <v>0</v>
      </c>
      <c r="Q23" s="1352" t="s">
        <v>1989</v>
      </c>
    </row>
    <row r="24" spans="1:17" ht="45">
      <c r="A24" s="1347">
        <v>22</v>
      </c>
      <c r="B24" s="1348" t="s">
        <v>2009</v>
      </c>
      <c r="C24" s="1339">
        <v>0</v>
      </c>
      <c r="D24" s="1339">
        <v>0</v>
      </c>
      <c r="E24" s="1339">
        <v>0</v>
      </c>
      <c r="F24" s="1339">
        <f t="shared" si="2"/>
        <v>0</v>
      </c>
      <c r="G24" s="1339"/>
      <c r="H24" s="1339"/>
      <c r="I24" s="1339">
        <v>300</v>
      </c>
      <c r="J24" s="1340">
        <f t="shared" si="7"/>
        <v>67.211919630674984</v>
      </c>
      <c r="K24" s="1340">
        <f t="shared" si="3"/>
        <v>367.21191963067497</v>
      </c>
      <c r="L24" s="1339">
        <v>0</v>
      </c>
      <c r="M24" s="1340">
        <f t="shared" si="8"/>
        <v>367.21191963067497</v>
      </c>
      <c r="N24" s="1340">
        <v>944</v>
      </c>
      <c r="O24" s="1342">
        <f>M24+N24</f>
        <v>1311.2119196306749</v>
      </c>
      <c r="P24" s="1340">
        <f t="shared" si="4"/>
        <v>0</v>
      </c>
      <c r="Q24" s="1349" t="s">
        <v>2003</v>
      </c>
    </row>
    <row r="25" spans="1:17" ht="45">
      <c r="A25" s="1347">
        <v>23</v>
      </c>
      <c r="B25" s="1350" t="s">
        <v>2010</v>
      </c>
      <c r="C25" s="1339">
        <v>93.73</v>
      </c>
      <c r="D25" s="1339">
        <f>621.9-C25</f>
        <v>528.16999999999996</v>
      </c>
      <c r="E25" s="1339">
        <v>0</v>
      </c>
      <c r="F25" s="1339">
        <f t="shared" si="2"/>
        <v>621.9</v>
      </c>
      <c r="G25" s="1339"/>
      <c r="H25" s="1339"/>
      <c r="I25" s="1339">
        <v>196.1</v>
      </c>
      <c r="J25" s="1340">
        <f t="shared" si="7"/>
        <v>43.934191465251217</v>
      </c>
      <c r="K25" s="1340">
        <f t="shared" si="3"/>
        <v>240.03419146525121</v>
      </c>
      <c r="L25" s="1340">
        <f>F25+K25</f>
        <v>861.93419146525116</v>
      </c>
      <c r="M25" s="1340">
        <f t="shared" si="8"/>
        <v>0</v>
      </c>
      <c r="N25" s="1340">
        <v>50</v>
      </c>
      <c r="O25" s="1342">
        <f>M25+N25</f>
        <v>50</v>
      </c>
      <c r="P25" s="1340">
        <f t="shared" si="4"/>
        <v>0</v>
      </c>
      <c r="Q25" s="1352" t="s">
        <v>1989</v>
      </c>
    </row>
    <row r="26" spans="1:17" ht="30">
      <c r="A26" s="1347">
        <v>24</v>
      </c>
      <c r="B26" s="1350" t="s">
        <v>2011</v>
      </c>
      <c r="C26" s="1339">
        <v>0</v>
      </c>
      <c r="D26" s="1339">
        <f>F15/100</f>
        <v>5.1438999999999995</v>
      </c>
      <c r="E26" s="1339">
        <f>M15/100</f>
        <v>0</v>
      </c>
      <c r="F26" s="1339">
        <f>P15/100</f>
        <v>0</v>
      </c>
      <c r="G26" s="1339"/>
      <c r="H26" s="1339"/>
      <c r="I26" s="1339">
        <v>200</v>
      </c>
      <c r="J26" s="1340">
        <f t="shared" si="7"/>
        <v>44.807946420449994</v>
      </c>
      <c r="K26" s="1340">
        <f t="shared" si="3"/>
        <v>244.80794642044998</v>
      </c>
      <c r="L26" s="1339">
        <v>0</v>
      </c>
      <c r="M26" s="1340">
        <f t="shared" si="8"/>
        <v>244.80794642044998</v>
      </c>
      <c r="N26" s="1340">
        <v>1170</v>
      </c>
      <c r="O26" s="1342">
        <f t="shared" ref="O26:O33" si="9">M26+N26</f>
        <v>1414.80794642045</v>
      </c>
      <c r="P26" s="1340">
        <f t="shared" si="4"/>
        <v>0</v>
      </c>
      <c r="Q26" s="1349" t="s">
        <v>2012</v>
      </c>
    </row>
    <row r="27" spans="1:17" ht="75">
      <c r="A27" s="1347">
        <v>25</v>
      </c>
      <c r="B27" s="1348" t="s">
        <v>2013</v>
      </c>
      <c r="C27" s="1339">
        <v>0</v>
      </c>
      <c r="D27" s="1339">
        <v>0</v>
      </c>
      <c r="E27" s="1339">
        <v>0</v>
      </c>
      <c r="F27" s="1339">
        <f t="shared" si="2"/>
        <v>0</v>
      </c>
      <c r="G27" s="1339"/>
      <c r="H27" s="1339"/>
      <c r="I27" s="1339">
        <v>1000</v>
      </c>
      <c r="J27" s="1340">
        <f t="shared" si="7"/>
        <v>224.03973210224996</v>
      </c>
      <c r="K27" s="1340">
        <f t="shared" si="3"/>
        <v>1224.0397321022499</v>
      </c>
      <c r="L27" s="1339">
        <v>0</v>
      </c>
      <c r="M27" s="1340">
        <f t="shared" si="8"/>
        <v>1224.0397321022499</v>
      </c>
      <c r="N27" s="1340">
        <v>1061</v>
      </c>
      <c r="O27" s="1342">
        <f t="shared" si="9"/>
        <v>2285.0397321022501</v>
      </c>
      <c r="P27" s="1340">
        <f t="shared" si="4"/>
        <v>0</v>
      </c>
      <c r="Q27" s="1349" t="s">
        <v>2003</v>
      </c>
    </row>
    <row r="28" spans="1:17" ht="30">
      <c r="A28" s="1347">
        <v>26</v>
      </c>
      <c r="B28" s="1348" t="s">
        <v>2014</v>
      </c>
      <c r="C28" s="1339">
        <v>0</v>
      </c>
      <c r="D28" s="1339">
        <v>593.87</v>
      </c>
      <c r="E28" s="1339">
        <v>0</v>
      </c>
      <c r="F28" s="1339">
        <f t="shared" si="2"/>
        <v>593.87</v>
      </c>
      <c r="G28" s="1339"/>
      <c r="H28" s="1339"/>
      <c r="I28" s="1339">
        <v>292.13</v>
      </c>
      <c r="J28" s="1340">
        <f t="shared" si="7"/>
        <v>65.44872693903028</v>
      </c>
      <c r="K28" s="1340">
        <f t="shared" si="3"/>
        <v>357.57872693903028</v>
      </c>
      <c r="L28" s="1340">
        <f>F28+K28</f>
        <v>951.44872693903028</v>
      </c>
      <c r="M28" s="1340">
        <f t="shared" ref="M28:M34" si="10">F28+K28-L28</f>
        <v>0</v>
      </c>
      <c r="N28" s="1340">
        <v>0</v>
      </c>
      <c r="O28" s="1342">
        <v>0</v>
      </c>
      <c r="P28" s="1340">
        <f t="shared" si="4"/>
        <v>0</v>
      </c>
      <c r="Q28" s="1349" t="s">
        <v>1989</v>
      </c>
    </row>
    <row r="29" spans="1:17" ht="45">
      <c r="A29" s="1347">
        <v>27</v>
      </c>
      <c r="B29" s="1350" t="s">
        <v>2015</v>
      </c>
      <c r="C29" s="1339">
        <v>0</v>
      </c>
      <c r="D29" s="1339">
        <v>0</v>
      </c>
      <c r="E29" s="1339">
        <v>0</v>
      </c>
      <c r="F29" s="1339">
        <f t="shared" si="2"/>
        <v>0</v>
      </c>
      <c r="G29" s="1339"/>
      <c r="H29" s="1339"/>
      <c r="I29" s="1339">
        <v>300</v>
      </c>
      <c r="J29" s="1340">
        <f t="shared" si="7"/>
        <v>67.211919630674984</v>
      </c>
      <c r="K29" s="1340">
        <f t="shared" si="3"/>
        <v>367.21191963067497</v>
      </c>
      <c r="L29" s="1339">
        <v>0</v>
      </c>
      <c r="M29" s="1340">
        <f t="shared" si="10"/>
        <v>367.21191963067497</v>
      </c>
      <c r="N29" s="1340">
        <v>800</v>
      </c>
      <c r="O29" s="1342">
        <f t="shared" si="9"/>
        <v>1167.2119196306749</v>
      </c>
      <c r="P29" s="1340">
        <f t="shared" si="4"/>
        <v>0</v>
      </c>
      <c r="Q29" s="1349" t="s">
        <v>2012</v>
      </c>
    </row>
    <row r="30" spans="1:17" ht="45">
      <c r="A30" s="1347">
        <v>28</v>
      </c>
      <c r="B30" s="1348" t="s">
        <v>2016</v>
      </c>
      <c r="C30" s="1339">
        <v>0</v>
      </c>
      <c r="D30" s="1339">
        <v>0</v>
      </c>
      <c r="E30" s="1339">
        <v>0</v>
      </c>
      <c r="F30" s="1339">
        <f t="shared" si="2"/>
        <v>0</v>
      </c>
      <c r="G30" s="1339"/>
      <c r="H30" s="1339"/>
      <c r="I30" s="1339">
        <v>500</v>
      </c>
      <c r="J30" s="1340">
        <f t="shared" si="7"/>
        <v>112.01986605112498</v>
      </c>
      <c r="K30" s="1340">
        <f t="shared" si="3"/>
        <v>612.01986605112495</v>
      </c>
      <c r="L30" s="1339">
        <v>0</v>
      </c>
      <c r="M30" s="1340">
        <f t="shared" si="10"/>
        <v>612.01986605112495</v>
      </c>
      <c r="N30" s="1340">
        <v>572</v>
      </c>
      <c r="O30" s="1342">
        <f t="shared" si="9"/>
        <v>1184.0198660511251</v>
      </c>
      <c r="P30" s="1340">
        <f t="shared" si="4"/>
        <v>0</v>
      </c>
      <c r="Q30" s="1349" t="s">
        <v>2012</v>
      </c>
    </row>
    <row r="31" spans="1:17" ht="45">
      <c r="A31" s="1347">
        <v>29</v>
      </c>
      <c r="B31" s="1348" t="s">
        <v>2477</v>
      </c>
      <c r="C31" s="1339">
        <v>0</v>
      </c>
      <c r="D31" s="1339">
        <v>0</v>
      </c>
      <c r="E31" s="1339">
        <v>0</v>
      </c>
      <c r="F31" s="1339">
        <f t="shared" si="2"/>
        <v>0</v>
      </c>
      <c r="G31" s="1339"/>
      <c r="H31" s="1339"/>
      <c r="I31" s="1339">
        <v>500</v>
      </c>
      <c r="J31" s="1340">
        <f t="shared" si="7"/>
        <v>112.01986605112498</v>
      </c>
      <c r="K31" s="1340">
        <f t="shared" si="3"/>
        <v>612.01986605112495</v>
      </c>
      <c r="L31" s="1339">
        <v>0</v>
      </c>
      <c r="M31" s="1340">
        <f t="shared" si="10"/>
        <v>612.01986605112495</v>
      </c>
      <c r="N31" s="1340">
        <v>572</v>
      </c>
      <c r="O31" s="1342">
        <f t="shared" si="9"/>
        <v>1184.0198660511251</v>
      </c>
      <c r="P31" s="1340">
        <f t="shared" si="4"/>
        <v>0</v>
      </c>
      <c r="Q31" s="1349" t="s">
        <v>2012</v>
      </c>
    </row>
    <row r="32" spans="1:17" ht="45">
      <c r="A32" s="1347">
        <v>30</v>
      </c>
      <c r="B32" s="1353" t="s">
        <v>2017</v>
      </c>
      <c r="C32" s="1339">
        <v>0</v>
      </c>
      <c r="D32" s="1339">
        <v>0</v>
      </c>
      <c r="E32" s="1339">
        <v>0</v>
      </c>
      <c r="F32" s="1339">
        <f t="shared" si="2"/>
        <v>0</v>
      </c>
      <c r="G32" s="1339"/>
      <c r="H32" s="1339"/>
      <c r="I32" s="1339">
        <v>600</v>
      </c>
      <c r="J32" s="1340">
        <f t="shared" si="7"/>
        <v>134.42383926134997</v>
      </c>
      <c r="K32" s="1340">
        <f t="shared" si="3"/>
        <v>734.42383926134994</v>
      </c>
      <c r="L32" s="1339">
        <v>0</v>
      </c>
      <c r="M32" s="1340">
        <f t="shared" si="10"/>
        <v>734.42383926134994</v>
      </c>
      <c r="N32" s="1340">
        <v>472</v>
      </c>
      <c r="O32" s="1342">
        <f t="shared" si="9"/>
        <v>1206.4238392613499</v>
      </c>
      <c r="P32" s="1340">
        <f t="shared" si="4"/>
        <v>0</v>
      </c>
      <c r="Q32" s="1349" t="s">
        <v>2003</v>
      </c>
    </row>
    <row r="33" spans="1:19" ht="30">
      <c r="A33" s="1347">
        <v>31</v>
      </c>
      <c r="B33" s="1350" t="s">
        <v>2018</v>
      </c>
      <c r="C33" s="1339">
        <v>0</v>
      </c>
      <c r="D33" s="1339">
        <v>0</v>
      </c>
      <c r="E33" s="1339">
        <v>0</v>
      </c>
      <c r="F33" s="1339">
        <f t="shared" si="2"/>
        <v>0</v>
      </c>
      <c r="G33" s="1339"/>
      <c r="H33" s="1339"/>
      <c r="I33" s="1339">
        <v>400</v>
      </c>
      <c r="J33" s="1340">
        <f t="shared" si="7"/>
        <v>89.615892840899988</v>
      </c>
      <c r="K33" s="1340">
        <f t="shared" si="3"/>
        <v>489.61589284089996</v>
      </c>
      <c r="L33" s="1339">
        <v>0</v>
      </c>
      <c r="M33" s="1340">
        <f t="shared" si="10"/>
        <v>489.61589284089996</v>
      </c>
      <c r="N33" s="1340">
        <v>672</v>
      </c>
      <c r="O33" s="1342">
        <f t="shared" si="9"/>
        <v>1161.6158928409</v>
      </c>
      <c r="P33" s="1340">
        <f t="shared" si="4"/>
        <v>0</v>
      </c>
      <c r="Q33" s="1349" t="s">
        <v>2012</v>
      </c>
    </row>
    <row r="34" spans="1:19" ht="45">
      <c r="A34" s="1347">
        <v>32</v>
      </c>
      <c r="B34" s="1348" t="s">
        <v>2019</v>
      </c>
      <c r="C34" s="1339">
        <v>0</v>
      </c>
      <c r="D34" s="1339">
        <v>528.30999999999995</v>
      </c>
      <c r="E34" s="1339">
        <v>0</v>
      </c>
      <c r="F34" s="1339">
        <f t="shared" si="2"/>
        <v>528.30999999999995</v>
      </c>
      <c r="G34" s="1339"/>
      <c r="H34" s="1339"/>
      <c r="I34" s="1339">
        <v>60</v>
      </c>
      <c r="J34" s="1340">
        <f t="shared" si="7"/>
        <v>13.442383926134999</v>
      </c>
      <c r="K34" s="1340">
        <f t="shared" si="3"/>
        <v>73.442383926134994</v>
      </c>
      <c r="L34" s="1340">
        <f>F34+K34</f>
        <v>601.75238392613494</v>
      </c>
      <c r="M34" s="1340">
        <f t="shared" si="10"/>
        <v>0</v>
      </c>
      <c r="N34" s="1340">
        <v>0</v>
      </c>
      <c r="O34" s="1342">
        <v>0</v>
      </c>
      <c r="P34" s="1340">
        <f t="shared" si="4"/>
        <v>0</v>
      </c>
      <c r="Q34" s="1352" t="s">
        <v>2020</v>
      </c>
    </row>
    <row r="35" spans="1:19" ht="60">
      <c r="A35" s="1347">
        <v>33</v>
      </c>
      <c r="B35" s="1350" t="s">
        <v>2021</v>
      </c>
      <c r="C35" s="1339">
        <v>0</v>
      </c>
      <c r="D35" s="1339">
        <v>125.36</v>
      </c>
      <c r="E35" s="1339">
        <v>0</v>
      </c>
      <c r="F35" s="1339">
        <f t="shared" si="2"/>
        <v>125.36</v>
      </c>
      <c r="G35" s="1339"/>
      <c r="H35" s="1339"/>
      <c r="I35" s="1339">
        <v>75.64</v>
      </c>
      <c r="J35" s="1340">
        <f t="shared" si="7"/>
        <v>16.946365336214189</v>
      </c>
      <c r="K35" s="1340">
        <f t="shared" si="3"/>
        <v>92.586365336214186</v>
      </c>
      <c r="L35" s="1340">
        <f>F35+K35</f>
        <v>217.94636533621417</v>
      </c>
      <c r="M35" s="1340">
        <f t="shared" ref="M35:M43" si="11">F35+K35-L35</f>
        <v>0</v>
      </c>
      <c r="N35" s="1340">
        <v>0</v>
      </c>
      <c r="O35" s="1342">
        <v>0</v>
      </c>
      <c r="P35" s="1340">
        <f t="shared" si="4"/>
        <v>0</v>
      </c>
      <c r="Q35" s="1352" t="s">
        <v>2022</v>
      </c>
    </row>
    <row r="36" spans="1:19" ht="60">
      <c r="A36" s="1347">
        <v>34</v>
      </c>
      <c r="B36" s="1350" t="s">
        <v>2023</v>
      </c>
      <c r="C36" s="1339">
        <v>0</v>
      </c>
      <c r="D36" s="1339">
        <v>674.37</v>
      </c>
      <c r="E36" s="1341">
        <f>D36</f>
        <v>674.37</v>
      </c>
      <c r="F36" s="1339">
        <f t="shared" si="2"/>
        <v>0</v>
      </c>
      <c r="G36" s="1339"/>
      <c r="H36" s="1339"/>
      <c r="I36" s="1339">
        <v>110.99</v>
      </c>
      <c r="J36" s="1340">
        <f t="shared" si="7"/>
        <v>24.866169866028724</v>
      </c>
      <c r="K36" s="1340">
        <f t="shared" si="3"/>
        <v>135.85616986602872</v>
      </c>
      <c r="L36" s="1340">
        <f>F36+K36</f>
        <v>135.85616986602872</v>
      </c>
      <c r="M36" s="1340">
        <f t="shared" si="11"/>
        <v>0</v>
      </c>
      <c r="N36" s="1340">
        <v>0</v>
      </c>
      <c r="O36" s="1342">
        <v>0</v>
      </c>
      <c r="P36" s="1340">
        <f t="shared" si="4"/>
        <v>0</v>
      </c>
      <c r="Q36" s="1352" t="s">
        <v>2024</v>
      </c>
      <c r="S36" s="1258"/>
    </row>
    <row r="37" spans="1:19" ht="45">
      <c r="A37" s="1347">
        <v>35</v>
      </c>
      <c r="B37" s="1350" t="s">
        <v>2025</v>
      </c>
      <c r="C37" s="1339">
        <v>0</v>
      </c>
      <c r="D37" s="1339">
        <v>0</v>
      </c>
      <c r="E37" s="1339">
        <v>0</v>
      </c>
      <c r="F37" s="1339">
        <f t="shared" si="2"/>
        <v>0</v>
      </c>
      <c r="G37" s="1339"/>
      <c r="H37" s="1339"/>
      <c r="I37" s="1339">
        <v>300</v>
      </c>
      <c r="J37" s="1340">
        <f t="shared" si="7"/>
        <v>67.211919630674984</v>
      </c>
      <c r="K37" s="1340">
        <f t="shared" si="3"/>
        <v>367.21191963067497</v>
      </c>
      <c r="L37" s="1339">
        <v>0</v>
      </c>
      <c r="M37" s="1340">
        <f t="shared" si="11"/>
        <v>367.21191963067497</v>
      </c>
      <c r="N37" s="1340">
        <v>772</v>
      </c>
      <c r="O37" s="1342">
        <f t="shared" ref="O37:O42" si="12">M37+N37</f>
        <v>1139.2119196306749</v>
      </c>
      <c r="P37" s="1340">
        <f t="shared" si="4"/>
        <v>0</v>
      </c>
      <c r="Q37" s="1349" t="s">
        <v>2012</v>
      </c>
    </row>
    <row r="38" spans="1:19" ht="45">
      <c r="A38" s="1347">
        <v>36</v>
      </c>
      <c r="B38" s="1350" t="s">
        <v>2026</v>
      </c>
      <c r="C38" s="1339">
        <v>0</v>
      </c>
      <c r="D38" s="1339">
        <v>0</v>
      </c>
      <c r="E38" s="1339">
        <v>0</v>
      </c>
      <c r="F38" s="1339">
        <f t="shared" si="2"/>
        <v>0</v>
      </c>
      <c r="G38" s="1339"/>
      <c r="H38" s="1339"/>
      <c r="I38" s="1339">
        <v>400</v>
      </c>
      <c r="J38" s="1340">
        <f t="shared" si="7"/>
        <v>89.615892840899988</v>
      </c>
      <c r="K38" s="1340">
        <f t="shared" si="3"/>
        <v>489.61589284089996</v>
      </c>
      <c r="L38" s="1339">
        <v>0</v>
      </c>
      <c r="M38" s="1340">
        <f t="shared" si="11"/>
        <v>489.61589284089996</v>
      </c>
      <c r="N38" s="1340">
        <v>700</v>
      </c>
      <c r="O38" s="1342">
        <f t="shared" si="12"/>
        <v>1189.6158928409</v>
      </c>
      <c r="P38" s="1340">
        <f t="shared" si="4"/>
        <v>0</v>
      </c>
      <c r="Q38" s="1349" t="s">
        <v>2027</v>
      </c>
    </row>
    <row r="39" spans="1:19" ht="45">
      <c r="A39" s="1347">
        <v>37</v>
      </c>
      <c r="B39" s="1350" t="s">
        <v>2028</v>
      </c>
      <c r="C39" s="1339">
        <v>0</v>
      </c>
      <c r="D39" s="1339">
        <v>0</v>
      </c>
      <c r="E39" s="1339">
        <v>0</v>
      </c>
      <c r="F39" s="1339">
        <f t="shared" si="2"/>
        <v>0</v>
      </c>
      <c r="G39" s="1339"/>
      <c r="H39" s="1339"/>
      <c r="I39" s="1339">
        <v>750</v>
      </c>
      <c r="J39" s="1340">
        <f t="shared" si="7"/>
        <v>168.02979907668748</v>
      </c>
      <c r="K39" s="1340">
        <f t="shared" si="3"/>
        <v>918.02979907668748</v>
      </c>
      <c r="L39" s="1339">
        <v>0</v>
      </c>
      <c r="M39" s="1340">
        <f t="shared" si="11"/>
        <v>918.02979907668748</v>
      </c>
      <c r="N39" s="1340">
        <v>322</v>
      </c>
      <c r="O39" s="1342">
        <f t="shared" si="12"/>
        <v>1240.0297990766876</v>
      </c>
      <c r="P39" s="1340">
        <f t="shared" si="4"/>
        <v>0</v>
      </c>
      <c r="Q39" s="1349" t="s">
        <v>2029</v>
      </c>
    </row>
    <row r="40" spans="1:19" ht="45">
      <c r="A40" s="1347">
        <v>38</v>
      </c>
      <c r="B40" s="1350" t="s">
        <v>2030</v>
      </c>
      <c r="C40" s="1339">
        <v>0</v>
      </c>
      <c r="D40" s="1339">
        <v>0</v>
      </c>
      <c r="E40" s="1339">
        <v>0</v>
      </c>
      <c r="F40" s="1339">
        <f t="shared" si="2"/>
        <v>0</v>
      </c>
      <c r="G40" s="1339"/>
      <c r="H40" s="1339"/>
      <c r="I40" s="1339">
        <v>300</v>
      </c>
      <c r="J40" s="1340">
        <f t="shared" si="7"/>
        <v>67.211919630674984</v>
      </c>
      <c r="K40" s="1340">
        <f t="shared" si="3"/>
        <v>367.21191963067497</v>
      </c>
      <c r="L40" s="1339">
        <v>0</v>
      </c>
      <c r="M40" s="1340">
        <f t="shared" si="11"/>
        <v>367.21191963067497</v>
      </c>
      <c r="N40" s="1340">
        <v>772</v>
      </c>
      <c r="O40" s="1342">
        <f t="shared" si="12"/>
        <v>1139.2119196306749</v>
      </c>
      <c r="P40" s="1340">
        <f t="shared" si="4"/>
        <v>0</v>
      </c>
      <c r="Q40" s="1349" t="s">
        <v>2031</v>
      </c>
    </row>
    <row r="41" spans="1:19" ht="45">
      <c r="A41" s="1347">
        <v>39</v>
      </c>
      <c r="B41" s="1350" t="s">
        <v>2032</v>
      </c>
      <c r="C41" s="1339">
        <v>0</v>
      </c>
      <c r="D41" s="1339">
        <v>0</v>
      </c>
      <c r="E41" s="1339">
        <v>0</v>
      </c>
      <c r="F41" s="1339">
        <f t="shared" si="2"/>
        <v>0</v>
      </c>
      <c r="G41" s="1339"/>
      <c r="H41" s="1339"/>
      <c r="I41" s="1339">
        <v>300</v>
      </c>
      <c r="J41" s="1340">
        <f t="shared" si="7"/>
        <v>67.211919630674984</v>
      </c>
      <c r="K41" s="1340">
        <f t="shared" si="3"/>
        <v>367.21191963067497</v>
      </c>
      <c r="L41" s="1339">
        <v>0</v>
      </c>
      <c r="M41" s="1340">
        <f t="shared" si="11"/>
        <v>367.21191963067497</v>
      </c>
      <c r="N41" s="1340">
        <v>772</v>
      </c>
      <c r="O41" s="1342">
        <f t="shared" si="12"/>
        <v>1139.2119196306749</v>
      </c>
      <c r="P41" s="1340">
        <f t="shared" si="4"/>
        <v>0</v>
      </c>
      <c r="Q41" s="1349" t="s">
        <v>2031</v>
      </c>
    </row>
    <row r="42" spans="1:19" ht="45">
      <c r="A42" s="1347">
        <v>40</v>
      </c>
      <c r="B42" s="1350" t="s">
        <v>2033</v>
      </c>
      <c r="C42" s="1339">
        <v>0</v>
      </c>
      <c r="D42" s="1339">
        <v>0</v>
      </c>
      <c r="E42" s="1339">
        <v>0</v>
      </c>
      <c r="F42" s="1339">
        <f t="shared" si="2"/>
        <v>0</v>
      </c>
      <c r="G42" s="1339"/>
      <c r="H42" s="1339"/>
      <c r="I42" s="1339">
        <v>200</v>
      </c>
      <c r="J42" s="1340">
        <f t="shared" si="7"/>
        <v>44.807946420449994</v>
      </c>
      <c r="K42" s="1340">
        <f t="shared" si="3"/>
        <v>244.80794642044998</v>
      </c>
      <c r="L42" s="1339">
        <v>0</v>
      </c>
      <c r="M42" s="1340">
        <f t="shared" si="11"/>
        <v>244.80794642044998</v>
      </c>
      <c r="N42" s="1340">
        <v>686</v>
      </c>
      <c r="O42" s="1342">
        <f t="shared" si="12"/>
        <v>930.80794642044998</v>
      </c>
      <c r="P42" s="1340">
        <f t="shared" si="4"/>
        <v>0</v>
      </c>
      <c r="Q42" s="1349" t="s">
        <v>2031</v>
      </c>
    </row>
    <row r="43" spans="1:19" ht="45">
      <c r="A43" s="1347">
        <v>41</v>
      </c>
      <c r="B43" s="1350" t="s">
        <v>2034</v>
      </c>
      <c r="C43" s="1339">
        <v>0</v>
      </c>
      <c r="D43" s="1339">
        <v>0</v>
      </c>
      <c r="E43" s="1339">
        <v>0</v>
      </c>
      <c r="F43" s="1339">
        <f t="shared" si="2"/>
        <v>0</v>
      </c>
      <c r="G43" s="1339"/>
      <c r="H43" s="1339"/>
      <c r="I43" s="1339">
        <v>200</v>
      </c>
      <c r="J43" s="1340">
        <f t="shared" si="7"/>
        <v>44.807946420449994</v>
      </c>
      <c r="K43" s="1340">
        <f t="shared" si="3"/>
        <v>244.80794642044998</v>
      </c>
      <c r="L43" s="1339">
        <v>0</v>
      </c>
      <c r="M43" s="1340">
        <f t="shared" si="11"/>
        <v>244.80794642044998</v>
      </c>
      <c r="N43" s="1340">
        <v>686</v>
      </c>
      <c r="O43" s="1342">
        <f t="shared" ref="O43:O48" si="13">SUM(M43:N43)</f>
        <v>930.80794642044998</v>
      </c>
      <c r="P43" s="1340">
        <f t="shared" si="4"/>
        <v>0</v>
      </c>
      <c r="Q43" s="1349" t="s">
        <v>2035</v>
      </c>
    </row>
    <row r="44" spans="1:19" ht="45">
      <c r="A44" s="1347">
        <v>42</v>
      </c>
      <c r="B44" s="1348" t="s">
        <v>2036</v>
      </c>
      <c r="C44" s="1339">
        <v>0</v>
      </c>
      <c r="D44" s="1339">
        <v>0</v>
      </c>
      <c r="E44" s="1339">
        <v>0</v>
      </c>
      <c r="F44" s="1339">
        <f t="shared" si="2"/>
        <v>0</v>
      </c>
      <c r="G44" s="1339"/>
      <c r="H44" s="1339"/>
      <c r="I44" s="1339">
        <v>886</v>
      </c>
      <c r="J44" s="1340">
        <f t="shared" si="7"/>
        <v>198.49920264259347</v>
      </c>
      <c r="K44" s="1340">
        <f t="shared" si="3"/>
        <v>1084.4992026425934</v>
      </c>
      <c r="L44" s="1340">
        <f>F44+K44</f>
        <v>1084.4992026425934</v>
      </c>
      <c r="M44" s="1340">
        <f>F44+K44-L44</f>
        <v>0</v>
      </c>
      <c r="N44" s="1340">
        <v>0</v>
      </c>
      <c r="O44" s="1342">
        <f t="shared" si="13"/>
        <v>0</v>
      </c>
      <c r="P44" s="1340">
        <f t="shared" si="4"/>
        <v>0</v>
      </c>
      <c r="Q44" s="1349" t="s">
        <v>2037</v>
      </c>
    </row>
    <row r="45" spans="1:19" ht="45">
      <c r="A45" s="1347">
        <v>43</v>
      </c>
      <c r="B45" s="1348" t="s">
        <v>2038</v>
      </c>
      <c r="C45" s="1339">
        <v>0</v>
      </c>
      <c r="D45" s="1339">
        <v>0</v>
      </c>
      <c r="E45" s="1339">
        <v>0</v>
      </c>
      <c r="F45" s="1339">
        <f t="shared" si="2"/>
        <v>0</v>
      </c>
      <c r="G45" s="1339"/>
      <c r="H45" s="1339"/>
      <c r="I45" s="1339">
        <v>100</v>
      </c>
      <c r="J45" s="1340">
        <f t="shared" si="7"/>
        <v>22.403973210224997</v>
      </c>
      <c r="K45" s="1340">
        <f t="shared" si="3"/>
        <v>122.40397321022499</v>
      </c>
      <c r="L45" s="1339">
        <v>0</v>
      </c>
      <c r="M45" s="1340">
        <f t="shared" ref="M45:M63" si="14">F45+K45-L45</f>
        <v>122.40397321022499</v>
      </c>
      <c r="N45" s="1340">
        <v>786</v>
      </c>
      <c r="O45" s="1342">
        <f t="shared" si="13"/>
        <v>908.40397321022499</v>
      </c>
      <c r="P45" s="1340">
        <f t="shared" si="4"/>
        <v>0</v>
      </c>
      <c r="Q45" s="1349" t="s">
        <v>2039</v>
      </c>
    </row>
    <row r="46" spans="1:19" ht="60">
      <c r="A46" s="1347">
        <v>44</v>
      </c>
      <c r="B46" s="1348" t="s">
        <v>2040</v>
      </c>
      <c r="C46" s="1339">
        <v>0</v>
      </c>
      <c r="D46" s="1339">
        <v>0</v>
      </c>
      <c r="E46" s="1339">
        <v>0</v>
      </c>
      <c r="F46" s="1339">
        <f t="shared" si="2"/>
        <v>0</v>
      </c>
      <c r="G46" s="1339"/>
      <c r="H46" s="1339"/>
      <c r="I46" s="1339">
        <v>150</v>
      </c>
      <c r="J46" s="1340">
        <f t="shared" si="7"/>
        <v>33.605959815337492</v>
      </c>
      <c r="K46" s="1340">
        <f t="shared" si="3"/>
        <v>183.60595981533748</v>
      </c>
      <c r="L46" s="1339">
        <v>0</v>
      </c>
      <c r="M46" s="1340">
        <f t="shared" si="14"/>
        <v>183.60595981533748</v>
      </c>
      <c r="N46" s="1340">
        <v>922</v>
      </c>
      <c r="O46" s="1342">
        <f t="shared" si="13"/>
        <v>1105.6059598153374</v>
      </c>
      <c r="P46" s="1340">
        <f t="shared" si="4"/>
        <v>0</v>
      </c>
      <c r="Q46" s="1349" t="s">
        <v>2039</v>
      </c>
    </row>
    <row r="47" spans="1:19" ht="45">
      <c r="A47" s="1347">
        <v>45</v>
      </c>
      <c r="B47" s="1348" t="s">
        <v>2041</v>
      </c>
      <c r="C47" s="1339">
        <v>0</v>
      </c>
      <c r="D47" s="1339">
        <v>0</v>
      </c>
      <c r="E47" s="1339">
        <v>0</v>
      </c>
      <c r="F47" s="1339">
        <f t="shared" si="2"/>
        <v>0</v>
      </c>
      <c r="G47" s="1339"/>
      <c r="H47" s="1339"/>
      <c r="I47" s="1339">
        <v>250</v>
      </c>
      <c r="J47" s="1340">
        <f t="shared" si="7"/>
        <v>56.009933025562489</v>
      </c>
      <c r="K47" s="1340">
        <f t="shared" si="3"/>
        <v>306.00993302556247</v>
      </c>
      <c r="L47" s="1339">
        <v>0</v>
      </c>
      <c r="M47" s="1340">
        <f t="shared" si="14"/>
        <v>306.00993302556247</v>
      </c>
      <c r="N47" s="1340">
        <v>850</v>
      </c>
      <c r="O47" s="1342">
        <f t="shared" si="13"/>
        <v>1156.0099330255625</v>
      </c>
      <c r="P47" s="1340">
        <f t="shared" si="4"/>
        <v>0</v>
      </c>
      <c r="Q47" s="1349" t="s">
        <v>2039</v>
      </c>
    </row>
    <row r="48" spans="1:19" ht="45">
      <c r="A48" s="1347">
        <v>46</v>
      </c>
      <c r="B48" s="1348" t="s">
        <v>2042</v>
      </c>
      <c r="C48" s="1339">
        <v>0</v>
      </c>
      <c r="D48" s="1339">
        <v>0</v>
      </c>
      <c r="E48" s="1339">
        <v>0</v>
      </c>
      <c r="F48" s="1339">
        <f t="shared" si="2"/>
        <v>0</v>
      </c>
      <c r="G48" s="1339"/>
      <c r="H48" s="1339"/>
      <c r="I48" s="1339">
        <v>250</v>
      </c>
      <c r="J48" s="1340">
        <f t="shared" si="7"/>
        <v>56.009933025562489</v>
      </c>
      <c r="K48" s="1340">
        <f t="shared" si="3"/>
        <v>306.00993302556247</v>
      </c>
      <c r="L48" s="1339">
        <v>0</v>
      </c>
      <c r="M48" s="1340">
        <f t="shared" si="14"/>
        <v>306.00993302556247</v>
      </c>
      <c r="N48" s="1340">
        <v>636</v>
      </c>
      <c r="O48" s="1340">
        <f t="shared" si="13"/>
        <v>942.00993302556253</v>
      </c>
      <c r="P48" s="1340">
        <f t="shared" si="4"/>
        <v>0</v>
      </c>
      <c r="Q48" s="1349" t="s">
        <v>2003</v>
      </c>
    </row>
    <row r="49" spans="1:17" ht="45">
      <c r="A49" s="1354">
        <v>47</v>
      </c>
      <c r="B49" s="1355" t="s">
        <v>2267</v>
      </c>
      <c r="C49" s="1340">
        <f>'Commissioning Details'!D4*10^2</f>
        <v>522</v>
      </c>
      <c r="D49" s="1340">
        <f>'Commissioning Details'!E4*10^2</f>
        <v>903.99999999999989</v>
      </c>
      <c r="E49" s="1340">
        <f>'Commissioning Details'!F4*10^2</f>
        <v>1425.9999999999998</v>
      </c>
      <c r="F49" s="1340">
        <f>'Commissioning Details'!G4*10^2</f>
        <v>0</v>
      </c>
      <c r="G49" s="1340"/>
      <c r="H49" s="1340"/>
      <c r="I49" s="1340">
        <f>'Commissioning Details'!H4*10^2</f>
        <v>50</v>
      </c>
      <c r="J49" s="1340">
        <f t="shared" si="7"/>
        <v>11.201986605112499</v>
      </c>
      <c r="K49" s="1340">
        <f t="shared" si="3"/>
        <v>61.201986605112495</v>
      </c>
      <c r="L49" s="1340">
        <f t="shared" ref="L49:L63" si="15">F49+K49</f>
        <v>61.201986605112495</v>
      </c>
      <c r="M49" s="1340">
        <f t="shared" si="14"/>
        <v>0</v>
      </c>
      <c r="N49" s="1340">
        <v>0</v>
      </c>
      <c r="O49" s="1340">
        <v>0</v>
      </c>
      <c r="P49" s="1340">
        <v>0</v>
      </c>
      <c r="Q49" s="1349"/>
    </row>
    <row r="50" spans="1:17" ht="45">
      <c r="A50" s="1354">
        <f>A49+1</f>
        <v>48</v>
      </c>
      <c r="B50" s="1355" t="s">
        <v>2270</v>
      </c>
      <c r="C50" s="1340">
        <f>'Commissioning Details'!D5*10^2</f>
        <v>20</v>
      </c>
      <c r="D50" s="1340">
        <f>'Commissioning Details'!E5*10^2</f>
        <v>940</v>
      </c>
      <c r="E50" s="1340">
        <f>'Commissioning Details'!F5*10^2</f>
        <v>960</v>
      </c>
      <c r="F50" s="1340">
        <f>'Commissioning Details'!G5*10^2</f>
        <v>0</v>
      </c>
      <c r="G50" s="1340"/>
      <c r="H50" s="1340"/>
      <c r="I50" s="1340">
        <f>'Commissioning Details'!H5*10^2</f>
        <v>20</v>
      </c>
      <c r="J50" s="1340">
        <f t="shared" si="7"/>
        <v>4.4807946420449989</v>
      </c>
      <c r="K50" s="1340">
        <f t="shared" si="3"/>
        <v>24.480794642044998</v>
      </c>
      <c r="L50" s="1340">
        <f t="shared" si="15"/>
        <v>24.480794642044998</v>
      </c>
      <c r="M50" s="1340">
        <f t="shared" si="14"/>
        <v>0</v>
      </c>
      <c r="N50" s="1340">
        <v>0</v>
      </c>
      <c r="O50" s="1340">
        <v>0</v>
      </c>
      <c r="P50" s="1340">
        <v>0</v>
      </c>
      <c r="Q50" s="1349"/>
    </row>
    <row r="51" spans="1:17" ht="45">
      <c r="A51" s="1354">
        <f t="shared" ref="A51:A64" si="16">A50+1</f>
        <v>49</v>
      </c>
      <c r="B51" s="1355" t="s">
        <v>2273</v>
      </c>
      <c r="C51" s="1340">
        <f>'Commissioning Details'!D6*10^2</f>
        <v>130</v>
      </c>
      <c r="D51" s="1340">
        <f>'Commissioning Details'!E6*10^2</f>
        <v>675</v>
      </c>
      <c r="E51" s="1340">
        <f>'Commissioning Details'!F6*10^2</f>
        <v>805.00000000000011</v>
      </c>
      <c r="F51" s="1340">
        <f>'Commissioning Details'!G6*10^2</f>
        <v>0</v>
      </c>
      <c r="G51" s="1340"/>
      <c r="H51" s="1340"/>
      <c r="I51" s="1340">
        <f>'Commissioning Details'!H6*10^2</f>
        <v>20</v>
      </c>
      <c r="J51" s="1340">
        <f t="shared" si="7"/>
        <v>4.4807946420449989</v>
      </c>
      <c r="K51" s="1340">
        <f t="shared" si="3"/>
        <v>24.480794642044998</v>
      </c>
      <c r="L51" s="1340">
        <f t="shared" si="15"/>
        <v>24.480794642044998</v>
      </c>
      <c r="M51" s="1340">
        <f t="shared" si="14"/>
        <v>0</v>
      </c>
      <c r="N51" s="1340">
        <v>0</v>
      </c>
      <c r="O51" s="1340">
        <v>0</v>
      </c>
      <c r="P51" s="1340">
        <v>0</v>
      </c>
      <c r="Q51" s="1349"/>
    </row>
    <row r="52" spans="1:17" ht="45">
      <c r="A52" s="1354">
        <f t="shared" si="16"/>
        <v>50</v>
      </c>
      <c r="B52" s="1355" t="s">
        <v>2275</v>
      </c>
      <c r="C52" s="1340">
        <f>'Commissioning Details'!D7*10^2</f>
        <v>167</v>
      </c>
      <c r="D52" s="1340">
        <f>'Commissioning Details'!E7*10^2</f>
        <v>723</v>
      </c>
      <c r="E52" s="1340">
        <f>'Commissioning Details'!F7*10^2</f>
        <v>890</v>
      </c>
      <c r="F52" s="1340">
        <f>'Commissioning Details'!G7*10^2</f>
        <v>0</v>
      </c>
      <c r="G52" s="1340"/>
      <c r="H52" s="1340"/>
      <c r="I52" s="1340">
        <f>'Commissioning Details'!H7*10^2</f>
        <v>30</v>
      </c>
      <c r="J52" s="1340">
        <f t="shared" si="7"/>
        <v>6.7211919630674997</v>
      </c>
      <c r="K52" s="1340">
        <f t="shared" si="3"/>
        <v>36.721191963067497</v>
      </c>
      <c r="L52" s="1340">
        <f t="shared" si="15"/>
        <v>36.721191963067497</v>
      </c>
      <c r="M52" s="1340">
        <f t="shared" si="14"/>
        <v>0</v>
      </c>
      <c r="N52" s="1340">
        <v>0</v>
      </c>
      <c r="O52" s="1340">
        <v>0</v>
      </c>
      <c r="P52" s="1340">
        <v>0</v>
      </c>
      <c r="Q52" s="1349"/>
    </row>
    <row r="53" spans="1:17" ht="60">
      <c r="A53" s="1354">
        <f t="shared" si="16"/>
        <v>51</v>
      </c>
      <c r="B53" s="1355" t="s">
        <v>2277</v>
      </c>
      <c r="C53" s="1340">
        <f>'Commissioning Details'!D8*10^2</f>
        <v>122</v>
      </c>
      <c r="D53" s="1340">
        <f>'Commissioning Details'!E8*10^2</f>
        <v>852.99999999999989</v>
      </c>
      <c r="E53" s="1340">
        <f>'Commissioning Details'!F8*10^2</f>
        <v>975</v>
      </c>
      <c r="F53" s="1340">
        <f>'Commissioning Details'!G8*10^2</f>
        <v>0</v>
      </c>
      <c r="G53" s="1340"/>
      <c r="H53" s="1340"/>
      <c r="I53" s="1340">
        <f>'Commissioning Details'!H8*10^2</f>
        <v>25</v>
      </c>
      <c r="J53" s="1340">
        <f t="shared" si="7"/>
        <v>5.6009933025562493</v>
      </c>
      <c r="K53" s="1340">
        <f t="shared" si="3"/>
        <v>30.600993302556247</v>
      </c>
      <c r="L53" s="1340">
        <f t="shared" si="15"/>
        <v>30.600993302556247</v>
      </c>
      <c r="M53" s="1340">
        <f t="shared" si="14"/>
        <v>0</v>
      </c>
      <c r="N53" s="1340">
        <v>0</v>
      </c>
      <c r="O53" s="1340">
        <v>0</v>
      </c>
      <c r="P53" s="1340">
        <v>0</v>
      </c>
      <c r="Q53" s="1349"/>
    </row>
    <row r="54" spans="1:17" ht="60">
      <c r="A54" s="1354">
        <f t="shared" si="16"/>
        <v>52</v>
      </c>
      <c r="B54" s="1355" t="s">
        <v>2279</v>
      </c>
      <c r="C54" s="1340">
        <f>'Commissioning Details'!D9*10^2</f>
        <v>30</v>
      </c>
      <c r="D54" s="1340">
        <f>'Commissioning Details'!E9*10^2</f>
        <v>752</v>
      </c>
      <c r="E54" s="1340">
        <f>'Commissioning Details'!F9*10^2</f>
        <v>781.99999999999989</v>
      </c>
      <c r="F54" s="1340">
        <f>'Commissioning Details'!G9*10^2</f>
        <v>0</v>
      </c>
      <c r="G54" s="1340"/>
      <c r="H54" s="1340"/>
      <c r="I54" s="1340">
        <f>'Commissioning Details'!H9*10^2</f>
        <v>26</v>
      </c>
      <c r="J54" s="1340">
        <f t="shared" si="7"/>
        <v>5.8250330346584986</v>
      </c>
      <c r="K54" s="1340">
        <f t="shared" si="3"/>
        <v>31.8250330346585</v>
      </c>
      <c r="L54" s="1340">
        <f t="shared" si="15"/>
        <v>31.8250330346585</v>
      </c>
      <c r="M54" s="1340">
        <f t="shared" si="14"/>
        <v>0</v>
      </c>
      <c r="N54" s="1340">
        <v>0</v>
      </c>
      <c r="O54" s="1340">
        <v>0</v>
      </c>
      <c r="P54" s="1340">
        <v>0</v>
      </c>
      <c r="Q54" s="1349"/>
    </row>
    <row r="55" spans="1:17" ht="60">
      <c r="A55" s="1354">
        <f t="shared" si="16"/>
        <v>53</v>
      </c>
      <c r="B55" s="1355" t="s">
        <v>2281</v>
      </c>
      <c r="C55" s="1340">
        <f>'Commissioning Details'!D10*10^2</f>
        <v>154</v>
      </c>
      <c r="D55" s="1340">
        <f>'Commissioning Details'!E10*10^2</f>
        <v>703</v>
      </c>
      <c r="E55" s="1340">
        <f>'Commissioning Details'!F10*10^2</f>
        <v>857</v>
      </c>
      <c r="F55" s="1340">
        <f>'Commissioning Details'!G10*10^2</f>
        <v>0</v>
      </c>
      <c r="G55" s="1340"/>
      <c r="H55" s="1340"/>
      <c r="I55" s="1340">
        <f>'Commissioning Details'!H10*10^2</f>
        <v>25</v>
      </c>
      <c r="J55" s="1340">
        <f t="shared" si="7"/>
        <v>5.6009933025562493</v>
      </c>
      <c r="K55" s="1340">
        <f t="shared" si="3"/>
        <v>30.600993302556247</v>
      </c>
      <c r="L55" s="1340">
        <f t="shared" si="15"/>
        <v>30.600993302556247</v>
      </c>
      <c r="M55" s="1340">
        <f t="shared" si="14"/>
        <v>0</v>
      </c>
      <c r="N55" s="1340">
        <v>0</v>
      </c>
      <c r="O55" s="1340">
        <v>0</v>
      </c>
      <c r="P55" s="1340">
        <v>0</v>
      </c>
      <c r="Q55" s="1349"/>
    </row>
    <row r="56" spans="1:17" ht="45">
      <c r="A56" s="1354">
        <f t="shared" si="16"/>
        <v>54</v>
      </c>
      <c r="B56" s="1355" t="s">
        <v>1985</v>
      </c>
      <c r="C56" s="1340">
        <f>'Commissioning Details'!D11*10^2</f>
        <v>9</v>
      </c>
      <c r="D56" s="1340">
        <f>'Commissioning Details'!E11*10^2</f>
        <v>786</v>
      </c>
      <c r="E56" s="1340">
        <f>'Commissioning Details'!F11*10^2</f>
        <v>795</v>
      </c>
      <c r="F56" s="1340">
        <f>'Commissioning Details'!G11*10^2</f>
        <v>0</v>
      </c>
      <c r="G56" s="1340"/>
      <c r="H56" s="1340"/>
      <c r="I56" s="1340">
        <f>'Commissioning Details'!H11*10^2</f>
        <v>100</v>
      </c>
      <c r="J56" s="1340">
        <f t="shared" si="7"/>
        <v>22.403973210224997</v>
      </c>
      <c r="K56" s="1340">
        <f t="shared" si="3"/>
        <v>122.40397321022499</v>
      </c>
      <c r="L56" s="1340">
        <f t="shared" si="15"/>
        <v>122.40397321022499</v>
      </c>
      <c r="M56" s="1340">
        <f t="shared" si="14"/>
        <v>0</v>
      </c>
      <c r="N56" s="1340">
        <v>0</v>
      </c>
      <c r="O56" s="1340">
        <v>0</v>
      </c>
      <c r="P56" s="1340">
        <v>0</v>
      </c>
      <c r="Q56" s="1349"/>
    </row>
    <row r="57" spans="1:17" ht="30">
      <c r="A57" s="1354">
        <f t="shared" si="16"/>
        <v>55</v>
      </c>
      <c r="B57" s="1355" t="s">
        <v>1990</v>
      </c>
      <c r="C57" s="1340">
        <f>'Commissioning Details'!D12*10^2</f>
        <v>351</v>
      </c>
      <c r="D57" s="1340">
        <f>'Commissioning Details'!E12*10^2</f>
        <v>724</v>
      </c>
      <c r="E57" s="1340">
        <f>'Commissioning Details'!F12*10^2</f>
        <v>1075</v>
      </c>
      <c r="F57" s="1340">
        <f>'Commissioning Details'!G12*10^2</f>
        <v>0</v>
      </c>
      <c r="G57" s="1340"/>
      <c r="H57" s="1340"/>
      <c r="I57" s="1340">
        <f>'Commissioning Details'!H12*10^2</f>
        <v>100</v>
      </c>
      <c r="J57" s="1340">
        <f t="shared" si="7"/>
        <v>22.403973210224997</v>
      </c>
      <c r="K57" s="1340">
        <f t="shared" si="3"/>
        <v>122.40397321022499</v>
      </c>
      <c r="L57" s="1340">
        <f t="shared" si="15"/>
        <v>122.40397321022499</v>
      </c>
      <c r="M57" s="1340">
        <f t="shared" si="14"/>
        <v>0</v>
      </c>
      <c r="N57" s="1340">
        <v>0</v>
      </c>
      <c r="O57" s="1340">
        <v>0</v>
      </c>
      <c r="P57" s="1340">
        <v>0</v>
      </c>
      <c r="Q57" s="1349"/>
    </row>
    <row r="58" spans="1:17" ht="45">
      <c r="A58" s="1354">
        <f t="shared" si="16"/>
        <v>56</v>
      </c>
      <c r="B58" s="1355" t="s">
        <v>2284</v>
      </c>
      <c r="C58" s="1340">
        <f>'Commissioning Details'!D13*10^2</f>
        <v>653</v>
      </c>
      <c r="D58" s="1340">
        <f>'Commissioning Details'!E13*10^2</f>
        <v>172</v>
      </c>
      <c r="E58" s="1340">
        <f>'Commissioning Details'!F13*10^2</f>
        <v>825</v>
      </c>
      <c r="F58" s="1340">
        <f>'Commissioning Details'!G13*10^2</f>
        <v>0</v>
      </c>
      <c r="G58" s="1340"/>
      <c r="H58" s="1340"/>
      <c r="I58" s="1340">
        <f>'Commissioning Details'!H13*10^2</f>
        <v>15</v>
      </c>
      <c r="J58" s="1340">
        <f t="shared" si="7"/>
        <v>3.3605959815337498</v>
      </c>
      <c r="K58" s="1340">
        <f t="shared" si="3"/>
        <v>18.360595981533748</v>
      </c>
      <c r="L58" s="1340">
        <f t="shared" si="15"/>
        <v>18.360595981533748</v>
      </c>
      <c r="M58" s="1340">
        <f t="shared" si="14"/>
        <v>0</v>
      </c>
      <c r="N58" s="1340">
        <v>0</v>
      </c>
      <c r="O58" s="1340">
        <v>0</v>
      </c>
      <c r="P58" s="1340">
        <v>0</v>
      </c>
      <c r="Q58" s="1349"/>
    </row>
    <row r="59" spans="1:17" ht="45">
      <c r="A59" s="1354">
        <f t="shared" si="16"/>
        <v>57</v>
      </c>
      <c r="B59" s="1355" t="s">
        <v>2286</v>
      </c>
      <c r="C59" s="1340">
        <f>'Commissioning Details'!D14*10^2</f>
        <v>27</v>
      </c>
      <c r="D59" s="1340">
        <f>'Commissioning Details'!E14*10^2</f>
        <v>733</v>
      </c>
      <c r="E59" s="1340">
        <f>'Commissioning Details'!F14*10^2</f>
        <v>760</v>
      </c>
      <c r="F59" s="1340">
        <f>'Commissioning Details'!G14*10^2</f>
        <v>0</v>
      </c>
      <c r="G59" s="1340"/>
      <c r="H59" s="1340"/>
      <c r="I59" s="1340">
        <f>'Commissioning Details'!H14*10^2</f>
        <v>60</v>
      </c>
      <c r="J59" s="1340">
        <f t="shared" si="7"/>
        <v>13.442383926134999</v>
      </c>
      <c r="K59" s="1340">
        <f t="shared" si="3"/>
        <v>73.442383926134994</v>
      </c>
      <c r="L59" s="1340">
        <f t="shared" si="15"/>
        <v>73.442383926134994</v>
      </c>
      <c r="M59" s="1340">
        <f t="shared" si="14"/>
        <v>0</v>
      </c>
      <c r="N59" s="1340">
        <v>0</v>
      </c>
      <c r="O59" s="1340">
        <v>0</v>
      </c>
      <c r="P59" s="1340">
        <v>0</v>
      </c>
      <c r="Q59" s="1349"/>
    </row>
    <row r="60" spans="1:17" ht="30">
      <c r="A60" s="1354">
        <f t="shared" si="16"/>
        <v>58</v>
      </c>
      <c r="B60" s="1355" t="s">
        <v>2288</v>
      </c>
      <c r="C60" s="1340">
        <f>'Commissioning Details'!D15*10^2</f>
        <v>28.000000000000004</v>
      </c>
      <c r="D60" s="1340">
        <f>'Commissioning Details'!E15*10^2</f>
        <v>725</v>
      </c>
      <c r="E60" s="1340">
        <f>'Commissioning Details'!F15*10^2</f>
        <v>753</v>
      </c>
      <c r="F60" s="1340">
        <f>'Commissioning Details'!G15*10^2</f>
        <v>0</v>
      </c>
      <c r="G60" s="1340"/>
      <c r="H60" s="1340"/>
      <c r="I60" s="1340">
        <f>'Commissioning Details'!H15*10^2</f>
        <v>134</v>
      </c>
      <c r="J60" s="1340">
        <f t="shared" si="7"/>
        <v>30.021324101701495</v>
      </c>
      <c r="K60" s="1340">
        <f t="shared" si="3"/>
        <v>164.02132410170151</v>
      </c>
      <c r="L60" s="1340">
        <f t="shared" si="15"/>
        <v>164.02132410170151</v>
      </c>
      <c r="M60" s="1340">
        <f t="shared" si="14"/>
        <v>0</v>
      </c>
      <c r="N60" s="1340">
        <v>0</v>
      </c>
      <c r="O60" s="1340">
        <v>0</v>
      </c>
      <c r="P60" s="1340">
        <v>0</v>
      </c>
      <c r="Q60" s="1349"/>
    </row>
    <row r="61" spans="1:17" s="1271" customFormat="1" ht="45" hidden="1">
      <c r="A61" s="1356">
        <f t="shared" si="16"/>
        <v>59</v>
      </c>
      <c r="B61" s="1357" t="s">
        <v>2290</v>
      </c>
      <c r="C61" s="1343">
        <f>'Commissioning Details'!D16*10^2</f>
        <v>30</v>
      </c>
      <c r="D61" s="1343">
        <f>'Commissioning Details'!E16*10^2</f>
        <v>18</v>
      </c>
      <c r="E61" s="1343">
        <f>'Commissioning Details'!F16*10^2</f>
        <v>0</v>
      </c>
      <c r="F61" s="1343">
        <f>'Commissioning Details'!G16*10^2</f>
        <v>48</v>
      </c>
      <c r="G61" s="1343"/>
      <c r="H61" s="1343"/>
      <c r="I61" s="1343">
        <f>'Commissioning Details'!H16*10^2</f>
        <v>641</v>
      </c>
      <c r="J61" s="1343"/>
      <c r="K61" s="1343"/>
      <c r="L61" s="1340">
        <f t="shared" si="15"/>
        <v>48</v>
      </c>
      <c r="M61" s="1340">
        <f t="shared" si="14"/>
        <v>0</v>
      </c>
      <c r="N61" s="1340">
        <v>0</v>
      </c>
      <c r="O61" s="1340">
        <v>0</v>
      </c>
      <c r="P61" s="1340">
        <v>0</v>
      </c>
      <c r="Q61" s="1358"/>
    </row>
    <row r="62" spans="1:17" ht="75">
      <c r="A62" s="1354">
        <f t="shared" si="16"/>
        <v>60</v>
      </c>
      <c r="B62" s="1355" t="s">
        <v>2293</v>
      </c>
      <c r="C62" s="1340">
        <f>'Commissioning Details'!D17*10^2</f>
        <v>60</v>
      </c>
      <c r="D62" s="1340">
        <f>'Commissioning Details'!E17*10^2</f>
        <v>575</v>
      </c>
      <c r="E62" s="1340">
        <f>'Commissioning Details'!F17*10^2</f>
        <v>635</v>
      </c>
      <c r="F62" s="1340">
        <f>'Commissioning Details'!G17*10^2</f>
        <v>0</v>
      </c>
      <c r="G62" s="1340"/>
      <c r="H62" s="1340"/>
      <c r="I62" s="1340">
        <f>'Commissioning Details'!H17*10^2</f>
        <v>10</v>
      </c>
      <c r="J62" s="1340">
        <f>I62/$I$65*$J$65</f>
        <v>2.2403973210224994</v>
      </c>
      <c r="K62" s="1340">
        <f t="shared" si="3"/>
        <v>12.240397321022499</v>
      </c>
      <c r="L62" s="1340">
        <f t="shared" si="15"/>
        <v>12.240397321022499</v>
      </c>
      <c r="M62" s="1340">
        <f t="shared" si="14"/>
        <v>0</v>
      </c>
      <c r="N62" s="1340">
        <v>0</v>
      </c>
      <c r="O62" s="1340">
        <v>0</v>
      </c>
      <c r="P62" s="1340">
        <v>0</v>
      </c>
      <c r="Q62" s="1349"/>
    </row>
    <row r="63" spans="1:17" ht="30">
      <c r="A63" s="1354">
        <f t="shared" si="16"/>
        <v>61</v>
      </c>
      <c r="B63" s="1355" t="s">
        <v>2295</v>
      </c>
      <c r="C63" s="1340">
        <f>'Commissioning Details'!D18*10^2</f>
        <v>35</v>
      </c>
      <c r="D63" s="1340">
        <f>'Commissioning Details'!E18*10^2</f>
        <v>1095</v>
      </c>
      <c r="E63" s="1340">
        <f>'Commissioning Details'!F18*10^2</f>
        <v>1130</v>
      </c>
      <c r="F63" s="1340">
        <f>'Commissioning Details'!G18*10^2</f>
        <v>0</v>
      </c>
      <c r="G63" s="1340"/>
      <c r="H63" s="1340"/>
      <c r="I63" s="1340">
        <f>'Commissioning Details'!H18*10^2</f>
        <v>100</v>
      </c>
      <c r="J63" s="1340">
        <f>I63/$I$65*$J$65</f>
        <v>22.403973210224997</v>
      </c>
      <c r="K63" s="1340">
        <f t="shared" si="3"/>
        <v>122.40397321022499</v>
      </c>
      <c r="L63" s="1340">
        <f t="shared" si="15"/>
        <v>122.40397321022499</v>
      </c>
      <c r="M63" s="1340">
        <f t="shared" si="14"/>
        <v>0</v>
      </c>
      <c r="N63" s="1340">
        <v>0</v>
      </c>
      <c r="O63" s="1340">
        <v>0</v>
      </c>
      <c r="P63" s="1340">
        <v>0</v>
      </c>
      <c r="Q63" s="1349"/>
    </row>
    <row r="64" spans="1:17" s="1271" customFormat="1" ht="25.5" hidden="1" customHeight="1">
      <c r="A64" s="1356">
        <f t="shared" si="16"/>
        <v>62</v>
      </c>
      <c r="B64" s="1359" t="s">
        <v>2000</v>
      </c>
      <c r="C64" s="1360">
        <f>'Commissioning Details'!D19*10^2</f>
        <v>56.000000000000007</v>
      </c>
      <c r="D64" s="1360">
        <f>'Commissioning Details'!E19*10^2</f>
        <v>512</v>
      </c>
      <c r="E64" s="1360">
        <f>'Commissioning Details'!F19*10^2</f>
        <v>568</v>
      </c>
      <c r="F64" s="1360">
        <f>'Commissioning Details'!G19*10^2</f>
        <v>0</v>
      </c>
      <c r="G64" s="1360"/>
      <c r="H64" s="1360"/>
      <c r="I64" s="1360">
        <f>'Commissioning Details'!H19*10^2</f>
        <v>20</v>
      </c>
      <c r="J64" s="1360"/>
      <c r="K64" s="1360"/>
      <c r="L64" s="1360"/>
      <c r="M64" s="1360"/>
      <c r="N64" s="1360"/>
      <c r="O64" s="1360"/>
      <c r="P64" s="1360"/>
      <c r="Q64" s="1358"/>
    </row>
    <row r="65" spans="1:17" s="1371" customFormat="1">
      <c r="A65" s="1372"/>
      <c r="B65" s="1372" t="s">
        <v>2479</v>
      </c>
      <c r="C65" s="1373">
        <f>SUM(C3:C60)+SUM(C62:C63)</f>
        <v>2401.73</v>
      </c>
      <c r="D65" s="1373">
        <f t="shared" ref="D65:P65" si="17">SUM(D3:D60)+SUM(D62:D63)</f>
        <v>21243.173900000002</v>
      </c>
      <c r="E65" s="1373">
        <f t="shared" si="17"/>
        <v>13342.369999999999</v>
      </c>
      <c r="F65" s="1373">
        <f t="shared" si="17"/>
        <v>10297.39</v>
      </c>
      <c r="G65" s="1373"/>
      <c r="H65" s="1373"/>
      <c r="I65" s="1373">
        <f t="shared" si="17"/>
        <v>19561.909999999996</v>
      </c>
      <c r="J65" s="1373">
        <f>I65/($I$87-$I$85)*$J$81</f>
        <v>4382.6450758083238</v>
      </c>
      <c r="K65" s="1373">
        <f t="shared" si="17"/>
        <v>23944.555075808315</v>
      </c>
      <c r="L65" s="1373">
        <f t="shared" si="17"/>
        <v>24204.819272569875</v>
      </c>
      <c r="M65" s="1373">
        <f t="shared" si="17"/>
        <v>10037.125803238445</v>
      </c>
      <c r="N65" s="1373">
        <f t="shared" si="17"/>
        <v>16668</v>
      </c>
      <c r="O65" s="1373">
        <f t="shared" si="17"/>
        <v>26705.125803238443</v>
      </c>
      <c r="P65" s="1373">
        <f t="shared" si="17"/>
        <v>0</v>
      </c>
      <c r="Q65" s="1349"/>
    </row>
    <row r="66" spans="1:17">
      <c r="A66" s="2589" t="s">
        <v>2043</v>
      </c>
      <c r="B66" s="2589"/>
      <c r="C66" s="2589"/>
      <c r="D66" s="2589"/>
      <c r="E66" s="2589"/>
      <c r="F66" s="2589"/>
      <c r="G66" s="2589"/>
      <c r="H66" s="2589"/>
      <c r="I66" s="2589"/>
      <c r="J66" s="2589"/>
      <c r="K66" s="2589"/>
      <c r="L66" s="2589"/>
      <c r="M66" s="2589"/>
      <c r="N66" s="2589"/>
      <c r="O66" s="2589"/>
      <c r="P66" s="2589"/>
      <c r="Q66" s="2589"/>
    </row>
    <row r="67" spans="1:17" ht="57">
      <c r="A67" s="1344" t="s">
        <v>1977</v>
      </c>
      <c r="B67" s="1345" t="s">
        <v>2044</v>
      </c>
      <c r="C67" s="1344" t="s">
        <v>2454</v>
      </c>
      <c r="D67" s="1344" t="s">
        <v>2452</v>
      </c>
      <c r="E67" s="1344" t="s">
        <v>2461</v>
      </c>
      <c r="F67" s="1344" t="s">
        <v>2455</v>
      </c>
      <c r="G67" s="1344"/>
      <c r="H67" s="1344"/>
      <c r="I67" s="1344" t="s">
        <v>1452</v>
      </c>
      <c r="J67" s="1344" t="s">
        <v>2473</v>
      </c>
      <c r="K67" s="1344" t="s">
        <v>2476</v>
      </c>
      <c r="L67" s="1344" t="s">
        <v>2461</v>
      </c>
      <c r="M67" s="1344" t="s">
        <v>2457</v>
      </c>
      <c r="N67" s="1344" t="s">
        <v>1453</v>
      </c>
      <c r="O67" s="1344" t="s">
        <v>2461</v>
      </c>
      <c r="P67" s="1344" t="s">
        <v>2459</v>
      </c>
      <c r="Q67" s="1346" t="s">
        <v>454</v>
      </c>
    </row>
    <row r="68" spans="1:17">
      <c r="A68" s="1347">
        <v>1</v>
      </c>
      <c r="B68" s="1361" t="s">
        <v>1719</v>
      </c>
      <c r="C68" s="1347">
        <v>0</v>
      </c>
      <c r="D68" s="1347">
        <v>35.229999999999997</v>
      </c>
      <c r="E68" s="991">
        <v>0</v>
      </c>
      <c r="F68" s="1347">
        <f>C68+D68-E68</f>
        <v>35.229999999999997</v>
      </c>
      <c r="G68" s="1347"/>
      <c r="H68" s="1347"/>
      <c r="I68" s="1347">
        <v>300.77</v>
      </c>
      <c r="J68" s="1362">
        <f>I68/$I$80*$J$80</f>
        <v>67.384430224393711</v>
      </c>
      <c r="K68" s="1362">
        <f>I68+J68</f>
        <v>368.15443022439371</v>
      </c>
      <c r="L68" s="1362">
        <f>F68+K68</f>
        <v>403.38443022439372</v>
      </c>
      <c r="M68" s="1340">
        <f t="shared" ref="M68:M79" si="18">F68+K68-L68</f>
        <v>0</v>
      </c>
      <c r="N68" s="1362">
        <v>0</v>
      </c>
      <c r="O68" s="1362">
        <v>0</v>
      </c>
      <c r="P68" s="1362">
        <f>M68+N68-O68</f>
        <v>0</v>
      </c>
      <c r="Q68" s="1363" t="s">
        <v>1989</v>
      </c>
    </row>
    <row r="69" spans="1:17">
      <c r="A69" s="1347">
        <v>2</v>
      </c>
      <c r="B69" s="1361" t="s">
        <v>2045</v>
      </c>
      <c r="C69" s="1347">
        <v>0</v>
      </c>
      <c r="D69" s="1347">
        <v>16.75</v>
      </c>
      <c r="E69" s="991">
        <v>0</v>
      </c>
      <c r="F69" s="1347">
        <f t="shared" ref="F69:F79" si="19">C69+D69-E69</f>
        <v>16.75</v>
      </c>
      <c r="G69" s="1347"/>
      <c r="H69" s="1347"/>
      <c r="I69" s="1347">
        <v>226.25</v>
      </c>
      <c r="J69" s="1362">
        <f t="shared" ref="J69:J79" si="20">I69/$I$80*$J$80</f>
        <v>50.688989388134054</v>
      </c>
      <c r="K69" s="1362">
        <f t="shared" ref="K69:K79" si="21">I69+J69</f>
        <v>276.93898938813408</v>
      </c>
      <c r="L69" s="1362">
        <f>F69+K69</f>
        <v>293.68898938813408</v>
      </c>
      <c r="M69" s="1340">
        <f t="shared" si="18"/>
        <v>0</v>
      </c>
      <c r="N69" s="1362">
        <v>0</v>
      </c>
      <c r="O69" s="1362">
        <v>0</v>
      </c>
      <c r="P69" s="1362">
        <f t="shared" ref="P69:P79" si="22">M69+N69-O69</f>
        <v>0</v>
      </c>
      <c r="Q69" s="1363" t="s">
        <v>1989</v>
      </c>
    </row>
    <row r="70" spans="1:17">
      <c r="A70" s="1347">
        <v>3</v>
      </c>
      <c r="B70" s="1361" t="s">
        <v>1723</v>
      </c>
      <c r="C70" s="1347">
        <v>0</v>
      </c>
      <c r="D70" s="1347">
        <v>5.16</v>
      </c>
      <c r="E70" s="991">
        <v>0</v>
      </c>
      <c r="F70" s="1347">
        <f t="shared" si="19"/>
        <v>5.16</v>
      </c>
      <c r="G70" s="1347"/>
      <c r="H70" s="1347"/>
      <c r="I70" s="1347">
        <v>161.34</v>
      </c>
      <c r="J70" s="1362">
        <f t="shared" si="20"/>
        <v>36.14657037737701</v>
      </c>
      <c r="K70" s="1362">
        <f t="shared" si="21"/>
        <v>197.48657037737701</v>
      </c>
      <c r="L70" s="1362">
        <v>0</v>
      </c>
      <c r="M70" s="1340">
        <f t="shared" si="18"/>
        <v>202.646570377377</v>
      </c>
      <c r="N70" s="1362">
        <v>18.5</v>
      </c>
      <c r="O70" s="1362">
        <f>M70+N70</f>
        <v>221.146570377377</v>
      </c>
      <c r="P70" s="1362">
        <f t="shared" si="22"/>
        <v>0</v>
      </c>
      <c r="Q70" s="1363" t="s">
        <v>2046</v>
      </c>
    </row>
    <row r="71" spans="1:17" ht="60">
      <c r="A71" s="1347">
        <v>4</v>
      </c>
      <c r="B71" s="1361" t="s">
        <v>2047</v>
      </c>
      <c r="C71" s="1347">
        <v>0</v>
      </c>
      <c r="D71" s="1347">
        <v>317.5</v>
      </c>
      <c r="E71" s="991">
        <v>0</v>
      </c>
      <c r="F71" s="1347">
        <f t="shared" si="19"/>
        <v>317.5</v>
      </c>
      <c r="G71" s="1347"/>
      <c r="H71" s="1347"/>
      <c r="I71" s="1347">
        <v>18.5</v>
      </c>
      <c r="J71" s="1362">
        <f t="shared" si="20"/>
        <v>4.1447350438916244</v>
      </c>
      <c r="K71" s="1362">
        <f t="shared" si="21"/>
        <v>22.644735043891625</v>
      </c>
      <c r="L71" s="1362">
        <f>F71+K71</f>
        <v>340.14473504389161</v>
      </c>
      <c r="M71" s="1340">
        <f t="shared" si="18"/>
        <v>0</v>
      </c>
      <c r="N71" s="1362">
        <v>0</v>
      </c>
      <c r="O71" s="1362">
        <v>0</v>
      </c>
      <c r="P71" s="1362">
        <f t="shared" si="22"/>
        <v>0</v>
      </c>
      <c r="Q71" s="1363" t="s">
        <v>2048</v>
      </c>
    </row>
    <row r="72" spans="1:17" ht="45">
      <c r="A72" s="1347">
        <v>5</v>
      </c>
      <c r="B72" s="1361" t="s">
        <v>2049</v>
      </c>
      <c r="C72" s="1347">
        <v>0</v>
      </c>
      <c r="D72" s="1347">
        <v>49.69</v>
      </c>
      <c r="E72" s="991">
        <v>0</v>
      </c>
      <c r="F72" s="1347">
        <f t="shared" si="19"/>
        <v>49.69</v>
      </c>
      <c r="G72" s="1347"/>
      <c r="H72" s="1347"/>
      <c r="I72" s="1347">
        <v>350.31</v>
      </c>
      <c r="J72" s="1362">
        <f t="shared" si="20"/>
        <v>78.48335855273919</v>
      </c>
      <c r="K72" s="1362">
        <f t="shared" si="21"/>
        <v>428.79335855273916</v>
      </c>
      <c r="L72" s="1362">
        <f t="shared" ref="L72:L79" si="23">F72+K72</f>
        <v>478.48335855273916</v>
      </c>
      <c r="M72" s="1340">
        <f t="shared" si="18"/>
        <v>0</v>
      </c>
      <c r="N72" s="1362">
        <v>0</v>
      </c>
      <c r="O72" s="1362">
        <v>0</v>
      </c>
      <c r="P72" s="1362">
        <f t="shared" si="22"/>
        <v>0</v>
      </c>
      <c r="Q72" s="1363" t="s">
        <v>2050</v>
      </c>
    </row>
    <row r="73" spans="1:17" ht="30">
      <c r="A73" s="1347">
        <v>6</v>
      </c>
      <c r="B73" s="1361" t="s">
        <v>2051</v>
      </c>
      <c r="C73" s="1347">
        <v>0</v>
      </c>
      <c r="D73" s="1347">
        <v>0</v>
      </c>
      <c r="E73" s="991">
        <v>0</v>
      </c>
      <c r="F73" s="1347">
        <f t="shared" si="19"/>
        <v>0</v>
      </c>
      <c r="G73" s="1347"/>
      <c r="H73" s="1347"/>
      <c r="I73" s="1347">
        <v>20</v>
      </c>
      <c r="J73" s="1362">
        <f t="shared" si="20"/>
        <v>4.4807946420449989</v>
      </c>
      <c r="K73" s="1362">
        <f t="shared" si="21"/>
        <v>24.480794642044998</v>
      </c>
      <c r="L73" s="1362">
        <f t="shared" si="23"/>
        <v>24.480794642044998</v>
      </c>
      <c r="M73" s="1340">
        <f t="shared" si="18"/>
        <v>0</v>
      </c>
      <c r="N73" s="1362">
        <v>365</v>
      </c>
      <c r="O73" s="1362">
        <v>365</v>
      </c>
      <c r="P73" s="1362">
        <f t="shared" si="22"/>
        <v>0</v>
      </c>
      <c r="Q73" s="1363" t="s">
        <v>2052</v>
      </c>
    </row>
    <row r="74" spans="1:17" ht="45">
      <c r="A74" s="1347">
        <v>7</v>
      </c>
      <c r="B74" s="1361" t="s">
        <v>2053</v>
      </c>
      <c r="C74" s="1347">
        <v>0</v>
      </c>
      <c r="D74" s="1347">
        <v>51.48</v>
      </c>
      <c r="E74" s="991">
        <v>0</v>
      </c>
      <c r="F74" s="1347">
        <f t="shared" si="19"/>
        <v>51.48</v>
      </c>
      <c r="G74" s="1347"/>
      <c r="H74" s="1347"/>
      <c r="I74" s="1347">
        <v>133.52000000000001</v>
      </c>
      <c r="J74" s="1362">
        <f t="shared" si="20"/>
        <v>29.91378503029242</v>
      </c>
      <c r="K74" s="1362">
        <f t="shared" si="21"/>
        <v>163.43378503029243</v>
      </c>
      <c r="L74" s="1362">
        <f t="shared" si="23"/>
        <v>214.91378503029242</v>
      </c>
      <c r="M74" s="1340">
        <f t="shared" si="18"/>
        <v>0</v>
      </c>
      <c r="N74" s="1362">
        <v>0</v>
      </c>
      <c r="O74" s="1362">
        <v>0</v>
      </c>
      <c r="P74" s="1362">
        <f t="shared" si="22"/>
        <v>0</v>
      </c>
      <c r="Q74" s="1363" t="s">
        <v>2054</v>
      </c>
    </row>
    <row r="75" spans="1:17" ht="30">
      <c r="A75" s="1347">
        <v>8</v>
      </c>
      <c r="B75" s="1361" t="s">
        <v>2055</v>
      </c>
      <c r="C75" s="1347">
        <v>0</v>
      </c>
      <c r="D75" s="1347">
        <v>0.14000000000000001</v>
      </c>
      <c r="E75" s="991">
        <v>0</v>
      </c>
      <c r="F75" s="1347">
        <f t="shared" si="19"/>
        <v>0.14000000000000001</v>
      </c>
      <c r="G75" s="1347"/>
      <c r="H75" s="1347"/>
      <c r="I75" s="1347">
        <v>222.86</v>
      </c>
      <c r="J75" s="1362">
        <f t="shared" si="20"/>
        <v>49.92949469630743</v>
      </c>
      <c r="K75" s="1362">
        <f t="shared" si="21"/>
        <v>272.78949469630743</v>
      </c>
      <c r="L75" s="1362">
        <f t="shared" si="23"/>
        <v>272.92949469630742</v>
      </c>
      <c r="M75" s="1340">
        <f t="shared" si="18"/>
        <v>0</v>
      </c>
      <c r="N75" s="1362">
        <v>50</v>
      </c>
      <c r="O75" s="1362">
        <v>50</v>
      </c>
      <c r="P75" s="1362">
        <f t="shared" si="22"/>
        <v>0</v>
      </c>
      <c r="Q75" s="1364" t="s">
        <v>1989</v>
      </c>
    </row>
    <row r="76" spans="1:17" ht="45">
      <c r="A76" s="1347">
        <v>9</v>
      </c>
      <c r="B76" s="1361" t="s">
        <v>2056</v>
      </c>
      <c r="C76" s="1347">
        <v>0</v>
      </c>
      <c r="D76" s="1347">
        <v>0</v>
      </c>
      <c r="E76" s="991">
        <v>0</v>
      </c>
      <c r="F76" s="1347">
        <f t="shared" si="19"/>
        <v>0</v>
      </c>
      <c r="G76" s="1347"/>
      <c r="H76" s="1347"/>
      <c r="I76" s="1347">
        <v>243</v>
      </c>
      <c r="J76" s="1362">
        <f t="shared" si="20"/>
        <v>54.441654900846743</v>
      </c>
      <c r="K76" s="1362">
        <f t="shared" si="21"/>
        <v>297.44165490084674</v>
      </c>
      <c r="L76" s="1362">
        <f t="shared" si="23"/>
        <v>297.44165490084674</v>
      </c>
      <c r="M76" s="1340">
        <f t="shared" si="18"/>
        <v>0</v>
      </c>
      <c r="N76" s="1362">
        <v>0</v>
      </c>
      <c r="O76" s="1362">
        <v>0</v>
      </c>
      <c r="P76" s="1362">
        <f t="shared" si="22"/>
        <v>0</v>
      </c>
      <c r="Q76" s="1363" t="s">
        <v>2057</v>
      </c>
    </row>
    <row r="77" spans="1:17">
      <c r="A77" s="1347">
        <v>10</v>
      </c>
      <c r="B77" s="1361" t="s">
        <v>2058</v>
      </c>
      <c r="C77" s="1347">
        <v>0</v>
      </c>
      <c r="D77" s="1347">
        <v>173.99</v>
      </c>
      <c r="E77" s="991">
        <v>0</v>
      </c>
      <c r="F77" s="1347">
        <f t="shared" si="19"/>
        <v>173.99</v>
      </c>
      <c r="G77" s="1347"/>
      <c r="H77" s="1347"/>
      <c r="I77" s="1347">
        <v>69.010000000000005</v>
      </c>
      <c r="J77" s="1362">
        <f t="shared" si="20"/>
        <v>15.460981912376273</v>
      </c>
      <c r="K77" s="1362">
        <f t="shared" si="21"/>
        <v>84.470981912376274</v>
      </c>
      <c r="L77" s="1362">
        <f t="shared" si="23"/>
        <v>258.46098191237627</v>
      </c>
      <c r="M77" s="1340">
        <f t="shared" si="18"/>
        <v>0</v>
      </c>
      <c r="N77" s="1362">
        <v>0</v>
      </c>
      <c r="O77" s="1362">
        <v>0</v>
      </c>
      <c r="P77" s="1362">
        <f t="shared" si="22"/>
        <v>0</v>
      </c>
      <c r="Q77" s="1363" t="s">
        <v>2059</v>
      </c>
    </row>
    <row r="78" spans="1:17" ht="45">
      <c r="A78" s="1347">
        <v>11</v>
      </c>
      <c r="B78" s="1361" t="s">
        <v>2060</v>
      </c>
      <c r="C78" s="1347">
        <v>0</v>
      </c>
      <c r="D78" s="1347">
        <v>0</v>
      </c>
      <c r="E78" s="991">
        <v>0</v>
      </c>
      <c r="F78" s="1347">
        <f t="shared" si="19"/>
        <v>0</v>
      </c>
      <c r="G78" s="1347"/>
      <c r="H78" s="1347"/>
      <c r="I78" s="1347">
        <v>243</v>
      </c>
      <c r="J78" s="1362">
        <f t="shared" si="20"/>
        <v>54.441654900846743</v>
      </c>
      <c r="K78" s="1362">
        <f t="shared" si="21"/>
        <v>297.44165490084674</v>
      </c>
      <c r="L78" s="1362">
        <f t="shared" si="23"/>
        <v>297.44165490084674</v>
      </c>
      <c r="M78" s="1340">
        <f t="shared" si="18"/>
        <v>0</v>
      </c>
      <c r="N78" s="1362">
        <v>0</v>
      </c>
      <c r="O78" s="1362">
        <v>0</v>
      </c>
      <c r="P78" s="1362">
        <f t="shared" si="22"/>
        <v>0</v>
      </c>
      <c r="Q78" s="1363" t="s">
        <v>2061</v>
      </c>
    </row>
    <row r="79" spans="1:17" ht="30">
      <c r="A79" s="1347">
        <v>12</v>
      </c>
      <c r="B79" s="1361" t="s">
        <v>2062</v>
      </c>
      <c r="C79" s="1347">
        <v>0</v>
      </c>
      <c r="D79" s="1347">
        <v>0</v>
      </c>
      <c r="E79" s="991">
        <v>0</v>
      </c>
      <c r="F79" s="1347">
        <f t="shared" si="19"/>
        <v>0</v>
      </c>
      <c r="G79" s="1347"/>
      <c r="H79" s="1347"/>
      <c r="I79" s="1347">
        <v>767</v>
      </c>
      <c r="J79" s="1362">
        <f t="shared" si="20"/>
        <v>171.83847452242571</v>
      </c>
      <c r="K79" s="1362">
        <f t="shared" si="21"/>
        <v>938.83847452242571</v>
      </c>
      <c r="L79" s="1362">
        <f t="shared" si="23"/>
        <v>938.83847452242571</v>
      </c>
      <c r="M79" s="1340">
        <f t="shared" si="18"/>
        <v>0</v>
      </c>
      <c r="N79" s="1362">
        <v>85</v>
      </c>
      <c r="O79" s="1362">
        <v>85</v>
      </c>
      <c r="P79" s="1362">
        <f t="shared" si="22"/>
        <v>0</v>
      </c>
      <c r="Q79" s="1365" t="s">
        <v>1989</v>
      </c>
    </row>
    <row r="80" spans="1:17" s="1371" customFormat="1">
      <c r="A80" s="1374"/>
      <c r="B80" s="1375" t="s">
        <v>2478</v>
      </c>
      <c r="C80" s="1374">
        <f>SUM(C68:C79)</f>
        <v>0</v>
      </c>
      <c r="D80" s="1374">
        <f>SUM(D68:D79)</f>
        <v>649.94000000000005</v>
      </c>
      <c r="E80" s="1374">
        <f t="shared" ref="E80:P80" si="24">SUM(E68:E79)</f>
        <v>0</v>
      </c>
      <c r="F80" s="1374">
        <f t="shared" si="24"/>
        <v>649.94000000000005</v>
      </c>
      <c r="G80" s="1374"/>
      <c r="H80" s="1374"/>
      <c r="I80" s="1374">
        <f t="shared" si="24"/>
        <v>2755.5600000000004</v>
      </c>
      <c r="J80" s="1376">
        <f>I80/($I$87-$I$85)*$J$81</f>
        <v>617.35492419167599</v>
      </c>
      <c r="K80" s="1376">
        <f t="shared" si="24"/>
        <v>3372.9149241916757</v>
      </c>
      <c r="L80" s="1376">
        <f t="shared" si="24"/>
        <v>3820.2083538142988</v>
      </c>
      <c r="M80" s="1376">
        <f t="shared" si="24"/>
        <v>202.646570377377</v>
      </c>
      <c r="N80" s="1376">
        <f t="shared" si="24"/>
        <v>518.5</v>
      </c>
      <c r="O80" s="1376">
        <f t="shared" si="24"/>
        <v>721.14657037737697</v>
      </c>
      <c r="P80" s="1376">
        <f t="shared" si="24"/>
        <v>0</v>
      </c>
      <c r="Q80" s="1377"/>
    </row>
    <row r="81" spans="1:17" s="1380" customFormat="1">
      <c r="A81" s="1367"/>
      <c r="B81" s="1368" t="s">
        <v>1033</v>
      </c>
      <c r="C81" s="1378">
        <f>C65+C80</f>
        <v>2401.73</v>
      </c>
      <c r="D81" s="1378">
        <f>D65+D80</f>
        <v>21893.1139</v>
      </c>
      <c r="E81" s="1378">
        <f>E65+E80</f>
        <v>13342.369999999999</v>
      </c>
      <c r="F81" s="1378">
        <f>F65+F80</f>
        <v>10947.33</v>
      </c>
      <c r="G81" s="1378"/>
      <c r="H81" s="1378"/>
      <c r="I81" s="1378">
        <f>I65+I80</f>
        <v>22317.469999999998</v>
      </c>
      <c r="J81" s="1367">
        <v>5000</v>
      </c>
      <c r="K81" s="1378">
        <f t="shared" ref="K81:P81" si="25">K65+K80</f>
        <v>27317.46999999999</v>
      </c>
      <c r="L81" s="1378">
        <f t="shared" si="25"/>
        <v>28025.027626384173</v>
      </c>
      <c r="M81" s="1378">
        <f t="shared" si="25"/>
        <v>10239.772373615822</v>
      </c>
      <c r="N81" s="1378">
        <f t="shared" si="25"/>
        <v>17186.5</v>
      </c>
      <c r="O81" s="1378">
        <f t="shared" si="25"/>
        <v>27426.272373615819</v>
      </c>
      <c r="P81" s="1378">
        <f t="shared" si="25"/>
        <v>0</v>
      </c>
      <c r="Q81" s="1379"/>
    </row>
    <row r="82" spans="1:17" ht="30" customHeight="1">
      <c r="A82" s="2588" t="s">
        <v>2063</v>
      </c>
      <c r="B82" s="2588"/>
      <c r="C82" s="2588"/>
      <c r="D82" s="2588"/>
      <c r="E82" s="2588"/>
      <c r="F82" s="2588"/>
      <c r="G82" s="2588"/>
      <c r="H82" s="2588"/>
      <c r="I82" s="2588"/>
      <c r="J82" s="2588"/>
      <c r="K82" s="2588"/>
      <c r="L82" s="2588"/>
      <c r="M82" s="2588"/>
      <c r="N82" s="2588"/>
      <c r="O82" s="2588"/>
      <c r="P82" s="2588"/>
      <c r="Q82" s="2588"/>
    </row>
    <row r="83" spans="1:17">
      <c r="A83" s="1366"/>
    </row>
    <row r="84" spans="1:17" ht="15" customHeight="1">
      <c r="A84" s="1344" t="s">
        <v>2064</v>
      </c>
      <c r="B84" s="1345" t="s">
        <v>1978</v>
      </c>
      <c r="C84" s="1344" t="s">
        <v>2454</v>
      </c>
      <c r="D84" s="1344" t="s">
        <v>2452</v>
      </c>
      <c r="E84" s="1344" t="s">
        <v>2461</v>
      </c>
      <c r="F84" s="1344" t="s">
        <v>2455</v>
      </c>
      <c r="G84" s="1344"/>
      <c r="H84" s="1344"/>
      <c r="I84" s="1344" t="s">
        <v>1452</v>
      </c>
      <c r="J84" s="1344" t="s">
        <v>2473</v>
      </c>
      <c r="K84" s="1344" t="s">
        <v>2475</v>
      </c>
      <c r="L84" s="1344" t="s">
        <v>2461</v>
      </c>
      <c r="M84" s="1344" t="s">
        <v>2457</v>
      </c>
      <c r="N84" s="1344" t="s">
        <v>1453</v>
      </c>
      <c r="O84" s="1344" t="s">
        <v>2461</v>
      </c>
      <c r="P84" s="1344" t="s">
        <v>2459</v>
      </c>
      <c r="Q84" s="1346" t="s">
        <v>454</v>
      </c>
    </row>
    <row r="85" spans="1:17" ht="75">
      <c r="A85" s="1382">
        <v>1</v>
      </c>
      <c r="B85" s="1345" t="s">
        <v>2480</v>
      </c>
      <c r="C85" s="1344">
        <v>0</v>
      </c>
      <c r="D85" s="1345">
        <v>0</v>
      </c>
      <c r="E85" s="1381">
        <v>0</v>
      </c>
      <c r="F85" s="1339">
        <f>C85+D85-E85</f>
        <v>0</v>
      </c>
      <c r="G85" s="1339"/>
      <c r="H85" s="1339"/>
      <c r="I85" s="1339">
        <v>6500</v>
      </c>
      <c r="J85" s="1339">
        <f>I85*10%</f>
        <v>650</v>
      </c>
      <c r="K85" s="1340">
        <f>I85+J85</f>
        <v>7150</v>
      </c>
      <c r="L85" s="1381">
        <v>0</v>
      </c>
      <c r="M85" s="1340">
        <f>F85+K85-L85</f>
        <v>7150</v>
      </c>
      <c r="N85" s="1381">
        <v>0</v>
      </c>
      <c r="O85" s="1381">
        <v>0</v>
      </c>
      <c r="P85" s="1340">
        <f>M85+N85-O85</f>
        <v>7150</v>
      </c>
      <c r="Q85" s="1347" t="s">
        <v>2065</v>
      </c>
    </row>
    <row r="86" spans="1:17">
      <c r="A86" s="1344"/>
      <c r="B86" s="1345"/>
      <c r="C86" s="1344"/>
      <c r="D86" s="1345"/>
      <c r="E86" s="1344"/>
      <c r="F86" s="1347"/>
      <c r="G86" s="1347"/>
      <c r="H86" s="1347"/>
      <c r="I86" s="1347"/>
      <c r="J86" s="1347"/>
      <c r="K86" s="1347"/>
      <c r="L86" s="1344"/>
      <c r="M86" s="1347"/>
      <c r="N86" s="1344"/>
      <c r="O86" s="1344"/>
      <c r="P86" s="1344"/>
      <c r="Q86" s="1347"/>
    </row>
    <row r="87" spans="1:17" ht="28.5">
      <c r="A87" s="1367" t="s">
        <v>354</v>
      </c>
      <c r="B87" s="1368"/>
      <c r="C87" s="1367">
        <f>C85+C80+C65</f>
        <v>2401.73</v>
      </c>
      <c r="D87" s="1367">
        <f>D85+D80+D65</f>
        <v>21893.1139</v>
      </c>
      <c r="E87" s="1378">
        <f>E81+E85</f>
        <v>13342.369999999999</v>
      </c>
      <c r="F87" s="1378">
        <f t="shared" ref="F87:P87" si="26">F81+F85</f>
        <v>10947.33</v>
      </c>
      <c r="G87" s="1378"/>
      <c r="H87" s="1378"/>
      <c r="I87" s="1378">
        <f t="shared" si="26"/>
        <v>28817.469999999998</v>
      </c>
      <c r="J87" s="1378">
        <f t="shared" si="26"/>
        <v>5650</v>
      </c>
      <c r="K87" s="1378">
        <f t="shared" si="26"/>
        <v>34467.469999999987</v>
      </c>
      <c r="L87" s="1378">
        <f t="shared" si="26"/>
        <v>28025.027626384173</v>
      </c>
      <c r="M87" s="1378">
        <f t="shared" si="26"/>
        <v>17389.772373615822</v>
      </c>
      <c r="N87" s="1378">
        <f t="shared" si="26"/>
        <v>17186.5</v>
      </c>
      <c r="O87" s="1378">
        <f t="shared" si="26"/>
        <v>27426.272373615819</v>
      </c>
      <c r="P87" s="1378">
        <f t="shared" si="26"/>
        <v>7150</v>
      </c>
      <c r="Q87" s="1265"/>
    </row>
    <row r="88" spans="1:17">
      <c r="A88" s="1369"/>
      <c r="B88" s="1369"/>
      <c r="C88" s="1369"/>
      <c r="D88" s="1369"/>
      <c r="E88" s="1369"/>
      <c r="F88" s="1369"/>
      <c r="G88" s="1369"/>
      <c r="H88" s="1369"/>
      <c r="I88" s="1369"/>
      <c r="J88" s="1369"/>
      <c r="K88" s="1369"/>
      <c r="L88" s="1369"/>
      <c r="M88" s="1369"/>
    </row>
    <row r="89" spans="1:17">
      <c r="A89" s="1370"/>
      <c r="B89" s="1370"/>
      <c r="C89" s="1369"/>
      <c r="D89" s="1369"/>
      <c r="E89" s="1369"/>
      <c r="F89" s="1369"/>
      <c r="G89" s="1369"/>
      <c r="H89" s="1369"/>
      <c r="I89" s="1369"/>
      <c r="J89" s="1369"/>
      <c r="K89" s="1369"/>
      <c r="L89" s="1369"/>
      <c r="M89" s="1369"/>
    </row>
    <row r="90" spans="1:17">
      <c r="A90" s="1370"/>
      <c r="B90" s="1370"/>
      <c r="C90" s="1369"/>
      <c r="D90" s="1369"/>
      <c r="E90" s="1369"/>
      <c r="F90" s="1369"/>
      <c r="G90" s="1369"/>
      <c r="H90" s="1369"/>
      <c r="I90" s="1369"/>
      <c r="J90" s="1369"/>
      <c r="K90" s="1369"/>
      <c r="L90" s="1369"/>
      <c r="M90" s="1369"/>
    </row>
    <row r="91" spans="1:17">
      <c r="A91" s="1370"/>
      <c r="B91" s="1370"/>
      <c r="C91" s="1369"/>
      <c r="D91" s="1369"/>
      <c r="E91" s="1369"/>
      <c r="F91" s="1369"/>
      <c r="G91" s="1369"/>
      <c r="H91" s="1369"/>
      <c r="I91" s="1369"/>
      <c r="J91" s="1369"/>
      <c r="K91" s="1369"/>
      <c r="L91" s="1369"/>
      <c r="M91" s="1369"/>
    </row>
    <row r="92" spans="1:17">
      <c r="B92" s="1266" t="s">
        <v>2464</v>
      </c>
    </row>
    <row r="93" spans="1:17">
      <c r="A93" s="1268" t="s">
        <v>2465</v>
      </c>
    </row>
    <row r="94" spans="1:17" ht="57">
      <c r="A94" s="1344" t="s">
        <v>1003</v>
      </c>
      <c r="B94" s="1344" t="s">
        <v>331</v>
      </c>
      <c r="C94" s="1344" t="s">
        <v>2450</v>
      </c>
      <c r="D94" s="1344" t="s">
        <v>2452</v>
      </c>
      <c r="E94" s="1344" t="s">
        <v>2461</v>
      </c>
      <c r="F94" s="1344" t="s">
        <v>2455</v>
      </c>
      <c r="G94" s="1344"/>
      <c r="H94" s="1344"/>
      <c r="I94" s="1344" t="s">
        <v>1452</v>
      </c>
      <c r="J94" s="1344"/>
      <c r="K94" s="1344"/>
      <c r="L94" s="1344" t="s">
        <v>2461</v>
      </c>
      <c r="M94" s="1344" t="s">
        <v>2457</v>
      </c>
      <c r="N94" s="1344" t="s">
        <v>1453</v>
      </c>
      <c r="O94" s="1344" t="s">
        <v>2461</v>
      </c>
      <c r="P94" s="1344" t="s">
        <v>2459</v>
      </c>
    </row>
    <row r="95" spans="1:17">
      <c r="A95" s="991">
        <v>1</v>
      </c>
      <c r="B95" s="1269" t="s">
        <v>2466</v>
      </c>
      <c r="C95" s="991">
        <f>C80</f>
        <v>0</v>
      </c>
      <c r="D95" s="991">
        <f t="shared" ref="D95:P95" si="27">D80</f>
        <v>649.94000000000005</v>
      </c>
      <c r="E95" s="991">
        <f t="shared" si="27"/>
        <v>0</v>
      </c>
      <c r="F95" s="991">
        <f t="shared" si="27"/>
        <v>649.94000000000005</v>
      </c>
      <c r="G95" s="991"/>
      <c r="H95" s="991"/>
      <c r="I95" s="991">
        <f t="shared" si="27"/>
        <v>2755.5600000000004</v>
      </c>
      <c r="J95" s="991"/>
      <c r="K95" s="991"/>
      <c r="L95" s="991">
        <f t="shared" si="27"/>
        <v>3820.2083538142988</v>
      </c>
      <c r="M95" s="991">
        <f t="shared" si="27"/>
        <v>202.646570377377</v>
      </c>
      <c r="N95" s="991">
        <f t="shared" si="27"/>
        <v>518.5</v>
      </c>
      <c r="O95" s="991">
        <f t="shared" si="27"/>
        <v>721.14657037737697</v>
      </c>
      <c r="P95" s="991">
        <f t="shared" si="27"/>
        <v>0</v>
      </c>
    </row>
    <row r="96" spans="1:17">
      <c r="A96" s="991">
        <v>2</v>
      </c>
      <c r="B96" s="1269" t="s">
        <v>2467</v>
      </c>
      <c r="C96" s="991">
        <f>C65</f>
        <v>2401.73</v>
      </c>
      <c r="D96" s="991">
        <f t="shared" ref="D96:P96" si="28">D65</f>
        <v>21243.173900000002</v>
      </c>
      <c r="E96" s="991">
        <f t="shared" si="28"/>
        <v>13342.369999999999</v>
      </c>
      <c r="F96" s="991">
        <f t="shared" si="28"/>
        <v>10297.39</v>
      </c>
      <c r="G96" s="991"/>
      <c r="H96" s="991"/>
      <c r="I96" s="991">
        <f t="shared" si="28"/>
        <v>19561.909999999996</v>
      </c>
      <c r="J96" s="991"/>
      <c r="K96" s="991"/>
      <c r="L96" s="991">
        <f t="shared" si="28"/>
        <v>24204.819272569875</v>
      </c>
      <c r="M96" s="991">
        <f t="shared" si="28"/>
        <v>10037.125803238445</v>
      </c>
      <c r="N96" s="991">
        <f t="shared" si="28"/>
        <v>16668</v>
      </c>
      <c r="O96" s="991">
        <f t="shared" si="28"/>
        <v>26705.125803238443</v>
      </c>
      <c r="P96" s="991">
        <f t="shared" si="28"/>
        <v>0</v>
      </c>
    </row>
    <row r="97" spans="1:16">
      <c r="A97" s="991">
        <v>3</v>
      </c>
      <c r="B97" s="1269" t="s">
        <v>2468</v>
      </c>
      <c r="C97" s="991">
        <f>C85</f>
        <v>0</v>
      </c>
      <c r="D97" s="991">
        <f t="shared" ref="D97:P97" si="29">D85</f>
        <v>0</v>
      </c>
      <c r="E97" s="991">
        <f t="shared" si="29"/>
        <v>0</v>
      </c>
      <c r="F97" s="991">
        <f t="shared" si="29"/>
        <v>0</v>
      </c>
      <c r="G97" s="991"/>
      <c r="H97" s="991"/>
      <c r="I97" s="991">
        <f t="shared" si="29"/>
        <v>6500</v>
      </c>
      <c r="J97" s="991"/>
      <c r="K97" s="991"/>
      <c r="L97" s="991">
        <f t="shared" si="29"/>
        <v>0</v>
      </c>
      <c r="M97" s="991">
        <f t="shared" si="29"/>
        <v>7150</v>
      </c>
      <c r="N97" s="991">
        <f t="shared" si="29"/>
        <v>0</v>
      </c>
      <c r="O97" s="991">
        <f t="shared" si="29"/>
        <v>0</v>
      </c>
      <c r="P97" s="991">
        <f t="shared" si="29"/>
        <v>7150</v>
      </c>
    </row>
    <row r="98" spans="1:16">
      <c r="A98" s="991">
        <v>4</v>
      </c>
      <c r="B98" s="1269" t="s">
        <v>287</v>
      </c>
      <c r="C98" s="991">
        <f>SUM(C95:C97)</f>
        <v>2401.73</v>
      </c>
      <c r="D98" s="991">
        <f t="shared" ref="D98:P98" si="30">SUM(D95:D97)</f>
        <v>21893.1139</v>
      </c>
      <c r="E98" s="991">
        <f t="shared" si="30"/>
        <v>13342.369999999999</v>
      </c>
      <c r="F98" s="991">
        <f t="shared" si="30"/>
        <v>10947.33</v>
      </c>
      <c r="G98" s="991"/>
      <c r="H98" s="991"/>
      <c r="I98" s="991">
        <f t="shared" si="30"/>
        <v>28817.469999999998</v>
      </c>
      <c r="J98" s="991"/>
      <c r="K98" s="991"/>
      <c r="L98" s="991">
        <f t="shared" si="30"/>
        <v>28025.027626384173</v>
      </c>
      <c r="M98" s="991">
        <f t="shared" si="30"/>
        <v>17389.772373615822</v>
      </c>
      <c r="N98" s="991">
        <f t="shared" si="30"/>
        <v>17186.5</v>
      </c>
      <c r="O98" s="991">
        <f t="shared" si="30"/>
        <v>27426.272373615819</v>
      </c>
      <c r="P98" s="991">
        <f t="shared" si="30"/>
        <v>7150</v>
      </c>
    </row>
    <row r="101" spans="1:16">
      <c r="A101" s="1268" t="s">
        <v>2067</v>
      </c>
    </row>
    <row r="102" spans="1:16" ht="57">
      <c r="A102" s="1344" t="s">
        <v>1003</v>
      </c>
      <c r="B102" s="1344" t="s">
        <v>331</v>
      </c>
      <c r="C102" s="1344" t="s">
        <v>2450</v>
      </c>
      <c r="D102" s="1344" t="s">
        <v>2452</v>
      </c>
      <c r="E102" s="1344" t="s">
        <v>2461</v>
      </c>
      <c r="F102" s="1344" t="s">
        <v>2455</v>
      </c>
      <c r="G102" s="1344"/>
      <c r="H102" s="1344"/>
      <c r="I102" s="1344" t="s">
        <v>1452</v>
      </c>
      <c r="J102" s="1344"/>
      <c r="K102" s="1344"/>
      <c r="L102" s="1344" t="s">
        <v>2461</v>
      </c>
      <c r="M102" s="1344" t="s">
        <v>2457</v>
      </c>
      <c r="N102" s="1344" t="s">
        <v>1453</v>
      </c>
      <c r="O102" s="1344" t="s">
        <v>2461</v>
      </c>
      <c r="P102" s="1344" t="s">
        <v>2459</v>
      </c>
    </row>
    <row r="103" spans="1:16">
      <c r="A103" s="991">
        <v>1</v>
      </c>
      <c r="B103" s="1269" t="s">
        <v>2469</v>
      </c>
      <c r="C103" s="1270">
        <f>Data_TL_consolidated!D71</f>
        <v>104.67</v>
      </c>
      <c r="D103" s="1270">
        <f>Data_TL_consolidated!E71</f>
        <v>40.730000000000004</v>
      </c>
      <c r="E103" s="1270">
        <f>Data_TL_consolidated!F71</f>
        <v>0</v>
      </c>
      <c r="F103" s="1270">
        <f>Data_TL_consolidated!I71</f>
        <v>145.4</v>
      </c>
      <c r="G103" s="1270"/>
      <c r="H103" s="1270"/>
      <c r="I103" s="1270">
        <f>Data_TL_consolidated!J71</f>
        <v>319.5</v>
      </c>
      <c r="J103" s="1270"/>
      <c r="K103" s="1270"/>
      <c r="L103" s="1270">
        <f>Data_TL_consolidated!M71</f>
        <v>317.4264623432743</v>
      </c>
      <c r="M103" s="1270">
        <f>Data_TL_consolidated!N71</f>
        <v>203.14387703335461</v>
      </c>
      <c r="N103" s="1270">
        <f>Data_TL_consolidated!O71</f>
        <v>178</v>
      </c>
      <c r="O103" s="1270">
        <f>Data_TL_consolidated!P71</f>
        <v>381.14387703335461</v>
      </c>
      <c r="P103" s="1270">
        <f>Data_TL_consolidated!Q71</f>
        <v>0</v>
      </c>
    </row>
    <row r="104" spans="1:16">
      <c r="A104" s="991">
        <v>2</v>
      </c>
      <c r="B104" s="1269" t="s">
        <v>2470</v>
      </c>
      <c r="C104" s="991">
        <f>Data_TL_consolidated!D64</f>
        <v>5241.8700000000008</v>
      </c>
      <c r="D104" s="991">
        <f>Data_TL_consolidated!E64</f>
        <v>3916.4915874116805</v>
      </c>
      <c r="E104" s="991">
        <f>Data_TL_consolidated!F64</f>
        <v>3353.84</v>
      </c>
      <c r="F104" s="991">
        <f>Data_TL_consolidated!I64</f>
        <v>5804.521587411682</v>
      </c>
      <c r="G104" s="991"/>
      <c r="H104" s="991"/>
      <c r="I104" s="991">
        <f>Data_TL_consolidated!J64</f>
        <v>14602.269999999999</v>
      </c>
      <c r="J104" s="991"/>
      <c r="K104" s="991"/>
      <c r="L104" s="991">
        <f>Data_TL_consolidated!M64</f>
        <v>8412.8559708667271</v>
      </c>
      <c r="M104" s="991">
        <f>Data_TL_consolidated!N64</f>
        <v>14538.265277168322</v>
      </c>
      <c r="N104" s="991">
        <f>Data_TL_consolidated!O64</f>
        <v>16201.879999999997</v>
      </c>
      <c r="O104" s="991">
        <f>Data_TL_consolidated!P64</f>
        <v>29931.110467671875</v>
      </c>
      <c r="P104" s="991">
        <f>Data_TL_consolidated!Q64</f>
        <v>809.03480949646064</v>
      </c>
    </row>
    <row r="105" spans="1:16">
      <c r="A105" s="991">
        <v>3</v>
      </c>
      <c r="B105" s="1269" t="s">
        <v>2471</v>
      </c>
      <c r="C105" s="991"/>
      <c r="D105" s="991"/>
      <c r="E105" s="991"/>
      <c r="F105" s="991"/>
      <c r="G105" s="991"/>
      <c r="H105" s="991"/>
      <c r="I105" s="991"/>
      <c r="J105" s="991"/>
      <c r="K105" s="991"/>
      <c r="L105" s="991"/>
      <c r="M105" s="991"/>
      <c r="N105" s="991"/>
      <c r="O105" s="991"/>
      <c r="P105" s="991"/>
    </row>
    <row r="106" spans="1:16">
      <c r="A106" s="991">
        <v>4</v>
      </c>
      <c r="B106" s="1269" t="s">
        <v>287</v>
      </c>
      <c r="C106" s="1270">
        <f>SUM(C103:C105)</f>
        <v>5346.5400000000009</v>
      </c>
      <c r="D106" s="1270">
        <f t="shared" ref="D106:P106" si="31">SUM(D103:D105)</f>
        <v>3957.2215874116805</v>
      </c>
      <c r="E106" s="1270">
        <f t="shared" si="31"/>
        <v>3353.84</v>
      </c>
      <c r="F106" s="1270">
        <f t="shared" si="31"/>
        <v>5949.9215874116817</v>
      </c>
      <c r="G106" s="1270"/>
      <c r="H106" s="1270"/>
      <c r="I106" s="1270">
        <f t="shared" si="31"/>
        <v>14921.769999999999</v>
      </c>
      <c r="J106" s="1270"/>
      <c r="K106" s="1270"/>
      <c r="L106" s="1270">
        <f t="shared" si="31"/>
        <v>8730.2824332100008</v>
      </c>
      <c r="M106" s="1270">
        <f t="shared" si="31"/>
        <v>14741.409154201678</v>
      </c>
      <c r="N106" s="1270">
        <f t="shared" si="31"/>
        <v>16379.879999999997</v>
      </c>
      <c r="O106" s="1270">
        <f t="shared" si="31"/>
        <v>30312.25434470523</v>
      </c>
      <c r="P106" s="1270">
        <f t="shared" si="31"/>
        <v>809.03480949646064</v>
      </c>
    </row>
    <row r="108" spans="1:16">
      <c r="A108" s="1267" t="s">
        <v>287</v>
      </c>
    </row>
    <row r="110" spans="1:16" ht="57">
      <c r="A110" s="1344" t="s">
        <v>1003</v>
      </c>
      <c r="B110" s="1344" t="s">
        <v>331</v>
      </c>
      <c r="C110" s="1344" t="s">
        <v>2450</v>
      </c>
      <c r="D110" s="1344" t="s">
        <v>2452</v>
      </c>
      <c r="E110" s="1344" t="s">
        <v>2461</v>
      </c>
      <c r="F110" s="1344" t="s">
        <v>2455</v>
      </c>
      <c r="G110" s="1344"/>
      <c r="H110" s="1344"/>
      <c r="I110" s="1344" t="s">
        <v>1452</v>
      </c>
      <c r="J110" s="1344"/>
      <c r="K110" s="1344"/>
      <c r="L110" s="1344" t="s">
        <v>2461</v>
      </c>
      <c r="M110" s="1344" t="s">
        <v>2457</v>
      </c>
      <c r="N110" s="1344" t="s">
        <v>1453</v>
      </c>
      <c r="O110" s="1344" t="s">
        <v>2461</v>
      </c>
      <c r="P110" s="1344" t="s">
        <v>2459</v>
      </c>
    </row>
    <row r="111" spans="1:16">
      <c r="A111" s="991">
        <v>1</v>
      </c>
      <c r="B111" s="1269" t="s">
        <v>2469</v>
      </c>
      <c r="C111" s="1270">
        <f>C96+C103</f>
        <v>2506.4</v>
      </c>
      <c r="D111" s="1270">
        <f t="shared" ref="D111:P111" si="32">D96+D103</f>
        <v>21283.903900000001</v>
      </c>
      <c r="E111" s="1270">
        <f t="shared" si="32"/>
        <v>13342.369999999999</v>
      </c>
      <c r="F111" s="1270">
        <f t="shared" si="32"/>
        <v>10442.789999999999</v>
      </c>
      <c r="G111" s="1270"/>
      <c r="H111" s="1270"/>
      <c r="I111" s="1270">
        <f t="shared" si="32"/>
        <v>19881.409999999996</v>
      </c>
      <c r="J111" s="1270"/>
      <c r="K111" s="1270"/>
      <c r="L111" s="1270">
        <f t="shared" si="32"/>
        <v>24522.245734913151</v>
      </c>
      <c r="M111" s="1270">
        <f t="shared" si="32"/>
        <v>10240.2696802718</v>
      </c>
      <c r="N111" s="1270">
        <f t="shared" si="32"/>
        <v>16846</v>
      </c>
      <c r="O111" s="1270">
        <f t="shared" si="32"/>
        <v>27086.269680271798</v>
      </c>
      <c r="P111" s="1270">
        <f t="shared" si="32"/>
        <v>0</v>
      </c>
    </row>
    <row r="112" spans="1:16">
      <c r="A112" s="991">
        <v>2</v>
      </c>
      <c r="B112" s="1269" t="s">
        <v>2470</v>
      </c>
      <c r="C112" s="1270">
        <f t="shared" ref="C112:P113" si="33">C97+C104</f>
        <v>5241.8700000000008</v>
      </c>
      <c r="D112" s="1270">
        <f t="shared" si="33"/>
        <v>3916.4915874116805</v>
      </c>
      <c r="E112" s="1270">
        <f t="shared" si="33"/>
        <v>3353.84</v>
      </c>
      <c r="F112" s="1270">
        <f t="shared" si="33"/>
        <v>5804.521587411682</v>
      </c>
      <c r="G112" s="1270"/>
      <c r="H112" s="1270"/>
      <c r="I112" s="1270">
        <f t="shared" si="33"/>
        <v>21102.269999999997</v>
      </c>
      <c r="J112" s="1270"/>
      <c r="K112" s="1270"/>
      <c r="L112" s="1270">
        <f t="shared" si="33"/>
        <v>8412.8559708667271</v>
      </c>
      <c r="M112" s="1270">
        <f t="shared" si="33"/>
        <v>21688.265277168321</v>
      </c>
      <c r="N112" s="1270">
        <f t="shared" si="33"/>
        <v>16201.879999999997</v>
      </c>
      <c r="O112" s="1270">
        <f t="shared" si="33"/>
        <v>29931.110467671875</v>
      </c>
      <c r="P112" s="1270">
        <f t="shared" si="33"/>
        <v>7959.0348094964611</v>
      </c>
    </row>
    <row r="113" spans="1:16">
      <c r="A113" s="991">
        <v>3</v>
      </c>
      <c r="B113" s="1269" t="s">
        <v>2471</v>
      </c>
      <c r="C113" s="1270">
        <f t="shared" si="33"/>
        <v>2401.73</v>
      </c>
      <c r="D113" s="1270">
        <f t="shared" si="33"/>
        <v>21893.1139</v>
      </c>
      <c r="E113" s="1270">
        <f t="shared" si="33"/>
        <v>13342.369999999999</v>
      </c>
      <c r="F113" s="1270">
        <f t="shared" si="33"/>
        <v>10947.33</v>
      </c>
      <c r="G113" s="1270"/>
      <c r="H113" s="1270"/>
      <c r="I113" s="1270">
        <f t="shared" si="33"/>
        <v>28817.469999999998</v>
      </c>
      <c r="J113" s="1270"/>
      <c r="K113" s="1270"/>
      <c r="L113" s="1270">
        <f t="shared" si="33"/>
        <v>28025.027626384173</v>
      </c>
      <c r="M113" s="1270">
        <f t="shared" si="33"/>
        <v>17389.772373615822</v>
      </c>
      <c r="N113" s="1270">
        <f t="shared" si="33"/>
        <v>17186.5</v>
      </c>
      <c r="O113" s="1270">
        <f t="shared" si="33"/>
        <v>27426.272373615819</v>
      </c>
      <c r="P113" s="1270">
        <f t="shared" si="33"/>
        <v>7150</v>
      </c>
    </row>
    <row r="114" spans="1:16">
      <c r="A114" s="991">
        <v>4</v>
      </c>
      <c r="B114" s="1269" t="s">
        <v>287</v>
      </c>
      <c r="C114" s="1270">
        <f t="shared" ref="C114:P114" si="34">SUM(C111:C113)</f>
        <v>10150</v>
      </c>
      <c r="D114" s="1270">
        <f t="shared" si="34"/>
        <v>47093.509387411686</v>
      </c>
      <c r="E114" s="1270">
        <f t="shared" si="34"/>
        <v>30038.579999999998</v>
      </c>
      <c r="F114" s="1270">
        <f t="shared" si="34"/>
        <v>27194.641587411679</v>
      </c>
      <c r="G114" s="1270"/>
      <c r="H114" s="1270"/>
      <c r="I114" s="1270">
        <f t="shared" si="34"/>
        <v>69801.149999999994</v>
      </c>
      <c r="J114" s="1270"/>
      <c r="K114" s="1270"/>
      <c r="L114" s="1270">
        <f t="shared" si="34"/>
        <v>60960.129332164048</v>
      </c>
      <c r="M114" s="1270">
        <f t="shared" si="34"/>
        <v>49318.307331055941</v>
      </c>
      <c r="N114" s="1270">
        <f t="shared" si="34"/>
        <v>50234.38</v>
      </c>
      <c r="O114" s="1270">
        <f t="shared" si="34"/>
        <v>84443.652521559488</v>
      </c>
      <c r="P114" s="1270">
        <f t="shared" si="34"/>
        <v>15109.034809496461</v>
      </c>
    </row>
  </sheetData>
  <mergeCells count="3">
    <mergeCell ref="A82:Q82"/>
    <mergeCell ref="A1:Q1"/>
    <mergeCell ref="A66:Q66"/>
  </mergeCells>
  <printOptions gridLines="1"/>
  <pageMargins left="0.7" right="0.7" top="0.75" bottom="0.75" header="0.3" footer="0.3"/>
  <pageSetup paperSize="9" scale="54" orientation="landscape" horizontalDpi="180" verticalDpi="180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7" sqref="P17"/>
    </sheetView>
  </sheetViews>
  <sheetFormatPr defaultRowHeight="1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13"/>
  <sheetViews>
    <sheetView workbookViewId="0">
      <selection activeCell="K7" sqref="K7"/>
    </sheetView>
  </sheetViews>
  <sheetFormatPr defaultRowHeight="15"/>
  <cols>
    <col min="3" max="6" width="18.85546875" customWidth="1"/>
    <col min="7" max="7" width="15.140625" customWidth="1"/>
    <col min="8" max="8" width="13.140625" customWidth="1"/>
  </cols>
  <sheetData>
    <row r="2" spans="2:8">
      <c r="B2" t="s">
        <v>168</v>
      </c>
    </row>
    <row r="3" spans="2:8" ht="28.5" customHeight="1">
      <c r="B3" s="1400" t="s">
        <v>1003</v>
      </c>
      <c r="C3" s="1401" t="s">
        <v>331</v>
      </c>
      <c r="D3" s="1403" t="s">
        <v>1966</v>
      </c>
      <c r="E3" s="1403" t="s">
        <v>2481</v>
      </c>
      <c r="F3" s="1402" t="s">
        <v>2250</v>
      </c>
      <c r="G3" s="1402" t="s">
        <v>2485</v>
      </c>
      <c r="H3" s="1402" t="s">
        <v>2486</v>
      </c>
    </row>
    <row r="4" spans="2:8">
      <c r="B4" s="1399">
        <v>1</v>
      </c>
      <c r="C4" s="1404" t="s">
        <v>160</v>
      </c>
      <c r="D4" s="1404" t="s">
        <v>2487</v>
      </c>
      <c r="E4" s="1399" t="s">
        <v>335</v>
      </c>
      <c r="F4" s="1406">
        <v>468.1</v>
      </c>
      <c r="G4" s="1406" t="e">
        <f>#REF!</f>
        <v>#REF!</v>
      </c>
      <c r="H4" s="1406" t="e">
        <f>#REF!</f>
        <v>#REF!</v>
      </c>
    </row>
    <row r="5" spans="2:8">
      <c r="B5" s="1399">
        <v>2</v>
      </c>
      <c r="C5" s="1404" t="s">
        <v>161</v>
      </c>
      <c r="D5" s="1405" t="s">
        <v>2488</v>
      </c>
      <c r="E5" s="1408" t="s">
        <v>2496</v>
      </c>
      <c r="F5" s="1406">
        <f>F4/12</f>
        <v>39.008333333333333</v>
      </c>
      <c r="G5" s="1406" t="e">
        <f>G4/12</f>
        <v>#REF!</v>
      </c>
      <c r="H5" s="1406" t="e">
        <f>H4/12</f>
        <v>#REF!</v>
      </c>
    </row>
    <row r="6" spans="2:8">
      <c r="B6" s="1399">
        <v>3</v>
      </c>
      <c r="C6" s="1404" t="s">
        <v>2489</v>
      </c>
      <c r="D6" s="1404" t="s">
        <v>184</v>
      </c>
      <c r="E6" s="1399" t="s">
        <v>339</v>
      </c>
      <c r="F6" s="1406">
        <v>7990.18</v>
      </c>
      <c r="G6" s="1406">
        <v>7990.18</v>
      </c>
      <c r="H6" s="1406">
        <v>10082</v>
      </c>
    </row>
    <row r="7" spans="2:8" ht="30">
      <c r="B7" s="1399">
        <v>4</v>
      </c>
      <c r="C7" s="1405" t="s">
        <v>2490</v>
      </c>
      <c r="D7" s="1405" t="s">
        <v>2491</v>
      </c>
      <c r="E7" s="1408" t="s">
        <v>2497</v>
      </c>
      <c r="F7" s="1407">
        <f>F4*10^7/(F6*12)</f>
        <v>48820.343638482904</v>
      </c>
      <c r="G7" s="1407" t="e">
        <f>G5*10^7/G6</f>
        <v>#REF!</v>
      </c>
      <c r="H7" s="1407" t="e">
        <f>H5*10^7/H6</f>
        <v>#REF!</v>
      </c>
    </row>
    <row r="8" spans="2:8" ht="30">
      <c r="B8" s="1399">
        <v>5</v>
      </c>
      <c r="C8" s="1405" t="s">
        <v>2490</v>
      </c>
      <c r="D8" s="1405" t="s">
        <v>2492</v>
      </c>
      <c r="E8" s="1408" t="s">
        <v>2498</v>
      </c>
      <c r="F8" s="1407">
        <f>F7/30</f>
        <v>1627.3447879494302</v>
      </c>
      <c r="G8" s="1407" t="e">
        <f>G7/30</f>
        <v>#REF!</v>
      </c>
      <c r="H8" s="1407" t="e">
        <f>H7/30</f>
        <v>#REF!</v>
      </c>
    </row>
    <row r="9" spans="2:8" ht="30">
      <c r="B9" s="1399">
        <v>6</v>
      </c>
      <c r="C9" s="1405" t="s">
        <v>2495</v>
      </c>
      <c r="D9" s="1405" t="s">
        <v>2492</v>
      </c>
      <c r="E9" s="1408" t="s">
        <v>2499</v>
      </c>
      <c r="F9" s="1407">
        <f>F8*33.33%</f>
        <v>542.39401782354503</v>
      </c>
      <c r="G9" s="1409" t="e">
        <f>G8*33.33%</f>
        <v>#REF!</v>
      </c>
      <c r="H9" s="1409" t="e">
        <f>H8*33.33%</f>
        <v>#REF!</v>
      </c>
    </row>
    <row r="10" spans="2:8" ht="30">
      <c r="B10" s="1399">
        <v>7</v>
      </c>
      <c r="C10" s="1405" t="s">
        <v>2500</v>
      </c>
      <c r="D10" s="1405" t="s">
        <v>2492</v>
      </c>
      <c r="E10" s="1408" t="s">
        <v>2501</v>
      </c>
      <c r="F10" s="1409">
        <f>20%*F8</f>
        <v>325.46895758988603</v>
      </c>
      <c r="G10" s="1409" t="e">
        <f>20%*G8</f>
        <v>#REF!</v>
      </c>
      <c r="H10" s="1409" t="e">
        <f>20%*H8</f>
        <v>#REF!</v>
      </c>
    </row>
    <row r="11" spans="2:8" ht="30">
      <c r="B11" s="1399" t="s">
        <v>335</v>
      </c>
      <c r="C11" s="1405" t="s">
        <v>2502</v>
      </c>
      <c r="D11" s="1405" t="s">
        <v>2493</v>
      </c>
      <c r="E11" s="1408" t="s">
        <v>2503</v>
      </c>
      <c r="F11" s="1409">
        <f>0.25*F10</f>
        <v>81.367239397471508</v>
      </c>
      <c r="G11" s="1409" t="e">
        <f>0.25*G10</f>
        <v>#REF!</v>
      </c>
      <c r="H11" s="1409" t="e">
        <f>0.25*H10</f>
        <v>#REF!</v>
      </c>
    </row>
    <row r="12" spans="2:8" ht="45">
      <c r="B12" s="1399" t="s">
        <v>337</v>
      </c>
      <c r="C12" s="1405" t="s">
        <v>2504</v>
      </c>
      <c r="D12" s="1405" t="s">
        <v>2493</v>
      </c>
      <c r="E12" s="1408" t="s">
        <v>2505</v>
      </c>
      <c r="F12" s="1409">
        <f>0.5*F10</f>
        <v>162.73447879494302</v>
      </c>
      <c r="G12" s="1409" t="e">
        <f>0.5*G10</f>
        <v>#REF!</v>
      </c>
      <c r="H12" s="1409" t="e">
        <f>0.5*H10</f>
        <v>#REF!</v>
      </c>
    </row>
    <row r="13" spans="2:8" ht="45">
      <c r="B13" s="1399" t="s">
        <v>339</v>
      </c>
      <c r="C13" s="1405" t="s">
        <v>2494</v>
      </c>
      <c r="D13" s="1405" t="s">
        <v>2493</v>
      </c>
      <c r="E13" s="1408" t="s">
        <v>2506</v>
      </c>
      <c r="F13" s="1407">
        <f>F12</f>
        <v>162.73447879494302</v>
      </c>
      <c r="G13" s="1407" t="e">
        <f>G12</f>
        <v>#REF!</v>
      </c>
      <c r="H13" s="1407" t="e">
        <f>H12</f>
        <v>#REF!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124"/>
  <sheetViews>
    <sheetView workbookViewId="0">
      <selection activeCell="S6" sqref="S6"/>
    </sheetView>
  </sheetViews>
  <sheetFormatPr defaultRowHeight="15"/>
  <cols>
    <col min="1" max="1" width="6" style="1193" customWidth="1"/>
    <col min="2" max="2" width="19.85546875" style="1193" customWidth="1"/>
    <col min="3" max="3" width="8.7109375" style="1193" customWidth="1"/>
    <col min="4" max="4" width="8.7109375" style="1193" hidden="1" customWidth="1"/>
    <col min="5" max="5" width="13.140625" style="1193" hidden="1" customWidth="1"/>
    <col min="6" max="6" width="0" style="1193" hidden="1" customWidth="1"/>
    <col min="7" max="7" width="12" style="1193" hidden="1" customWidth="1"/>
    <col min="8" max="8" width="10.140625" style="1193" hidden="1" customWidth="1"/>
    <col min="9" max="9" width="10.85546875" style="1193" hidden="1" customWidth="1"/>
    <col min="10" max="10" width="10.28515625" style="1193" hidden="1" customWidth="1"/>
    <col min="11" max="11" width="10.42578125" style="1193" customWidth="1"/>
    <col min="12" max="12" width="10.85546875" style="1193" customWidth="1"/>
    <col min="13" max="16384" width="9.140625" style="1193"/>
  </cols>
  <sheetData>
    <row r="1" spans="1:15" ht="18" customHeight="1">
      <c r="A1" s="2590" t="s">
        <v>2420</v>
      </c>
      <c r="B1" s="2590"/>
      <c r="C1" s="2590"/>
      <c r="D1" s="2590"/>
      <c r="E1" s="2590"/>
      <c r="F1" s="2590"/>
      <c r="G1" s="2590"/>
      <c r="H1" s="2590"/>
      <c r="I1" s="2590"/>
      <c r="J1" s="2590"/>
      <c r="K1" s="2590"/>
      <c r="L1" s="2590"/>
      <c r="M1" s="1192"/>
      <c r="N1" s="1192"/>
      <c r="O1" s="1192"/>
    </row>
    <row r="2" spans="1:15" ht="123.75" customHeight="1">
      <c r="A2" s="2591" t="s">
        <v>394</v>
      </c>
      <c r="B2" s="2591" t="s">
        <v>1423</v>
      </c>
      <c r="C2" s="1194"/>
      <c r="D2" s="1195" t="s">
        <v>2421</v>
      </c>
      <c r="E2" s="1195" t="s">
        <v>2422</v>
      </c>
      <c r="F2" s="1195" t="s">
        <v>2423</v>
      </c>
      <c r="G2" s="1195" t="s">
        <v>2424</v>
      </c>
      <c r="H2" s="1195" t="s">
        <v>2425</v>
      </c>
      <c r="I2" s="1195" t="s">
        <v>2426</v>
      </c>
      <c r="J2" s="1195" t="s">
        <v>2427</v>
      </c>
      <c r="K2" s="1195" t="s">
        <v>2428</v>
      </c>
      <c r="L2" s="1195" t="s">
        <v>2429</v>
      </c>
      <c r="M2" s="1192"/>
      <c r="N2" s="1192"/>
      <c r="O2" s="1192"/>
    </row>
    <row r="3" spans="1:15">
      <c r="A3" s="2591"/>
      <c r="B3" s="2591"/>
      <c r="C3" s="1194"/>
      <c r="D3" s="1195" t="s">
        <v>1037</v>
      </c>
      <c r="E3" s="1195" t="s">
        <v>1037</v>
      </c>
      <c r="F3" s="1195" t="s">
        <v>1037</v>
      </c>
      <c r="G3" s="1195" t="s">
        <v>1037</v>
      </c>
      <c r="H3" s="1195" t="s">
        <v>1037</v>
      </c>
      <c r="I3" s="1195" t="s">
        <v>1040</v>
      </c>
      <c r="J3" s="1195" t="s">
        <v>1040</v>
      </c>
      <c r="K3" s="1195" t="s">
        <v>1040</v>
      </c>
      <c r="L3" s="1195" t="s">
        <v>1040</v>
      </c>
      <c r="M3" s="1192"/>
      <c r="N3" s="1192"/>
      <c r="O3" s="1192"/>
    </row>
    <row r="4" spans="1:15" ht="18" customHeight="1">
      <c r="A4" s="2591">
        <v>1</v>
      </c>
      <c r="B4" s="2591" t="s">
        <v>2430</v>
      </c>
      <c r="C4" s="1195" t="s">
        <v>103</v>
      </c>
      <c r="D4" s="1195">
        <v>1486.1579999999999</v>
      </c>
      <c r="E4" s="1195">
        <v>335.80500000000001</v>
      </c>
      <c r="F4" s="1195">
        <v>1821.963</v>
      </c>
      <c r="G4" s="1195">
        <v>25.763999999999999</v>
      </c>
      <c r="H4" s="1195">
        <f>F4+G4</f>
        <v>1847.7269999999999</v>
      </c>
      <c r="I4" s="1195"/>
      <c r="J4" s="1195">
        <f>H4+I4</f>
        <v>1847.7269999999999</v>
      </c>
      <c r="K4" s="1195"/>
      <c r="L4" s="1195"/>
      <c r="M4" s="1192"/>
      <c r="N4" s="1192"/>
      <c r="O4" s="1192"/>
    </row>
    <row r="5" spans="1:15">
      <c r="A5" s="2591"/>
      <c r="B5" s="2591"/>
      <c r="C5" s="1195" t="s">
        <v>431</v>
      </c>
      <c r="D5" s="1195">
        <v>2219.9839999999999</v>
      </c>
      <c r="E5" s="1195">
        <v>54.023000000000003</v>
      </c>
      <c r="F5" s="1195">
        <v>2942.9870000000001</v>
      </c>
      <c r="G5" s="1195">
        <v>22.847999999999999</v>
      </c>
      <c r="H5" s="1195">
        <f>F5+G5</f>
        <v>2965.835</v>
      </c>
      <c r="I5" s="1196">
        <v>20</v>
      </c>
      <c r="J5" s="1195">
        <f>H5+I5</f>
        <v>2985.835</v>
      </c>
      <c r="K5" s="1195"/>
      <c r="L5" s="1195"/>
      <c r="M5" s="1192"/>
      <c r="N5" s="1192"/>
      <c r="O5" s="1192"/>
    </row>
    <row r="6" spans="1:15">
      <c r="A6" s="2591">
        <v>2</v>
      </c>
      <c r="B6" s="2591" t="s">
        <v>2431</v>
      </c>
      <c r="C6" s="1195" t="s">
        <v>103</v>
      </c>
      <c r="D6" s="1195">
        <v>2834.94</v>
      </c>
      <c r="E6" s="1195">
        <v>8.2919999999999998</v>
      </c>
      <c r="F6" s="1195">
        <v>2942.9870000000001</v>
      </c>
      <c r="G6" s="1195">
        <v>36.793999999999997</v>
      </c>
      <c r="H6" s="1195">
        <f>F6+G6</f>
        <v>2979.7809999999999</v>
      </c>
      <c r="I6" s="1196">
        <v>450</v>
      </c>
      <c r="J6" s="1195">
        <f>H6+I6</f>
        <v>3429.7809999999999</v>
      </c>
      <c r="K6" s="1195"/>
      <c r="L6" s="1195"/>
      <c r="M6" s="1192"/>
      <c r="N6" s="1192"/>
      <c r="O6" s="1192"/>
    </row>
    <row r="7" spans="1:15">
      <c r="A7" s="2591"/>
      <c r="B7" s="2591"/>
      <c r="C7" s="1195" t="s">
        <v>431</v>
      </c>
      <c r="D7" s="1195">
        <v>881.12400000000002</v>
      </c>
      <c r="E7" s="1195">
        <v>0</v>
      </c>
      <c r="F7" s="1195">
        <v>881.12400000000002</v>
      </c>
      <c r="G7" s="1195"/>
      <c r="H7" s="1195">
        <f>F7+G7</f>
        <v>881.12400000000002</v>
      </c>
      <c r="I7" s="1195"/>
      <c r="J7" s="1195">
        <f>H7+I7</f>
        <v>881.12400000000002</v>
      </c>
      <c r="K7" s="1195"/>
      <c r="L7" s="1195"/>
      <c r="M7" s="1192"/>
      <c r="N7" s="1192"/>
      <c r="O7" s="1192"/>
    </row>
    <row r="8" spans="1:15">
      <c r="A8" s="2591">
        <v>3</v>
      </c>
      <c r="B8" s="2591" t="s">
        <v>2432</v>
      </c>
      <c r="C8" s="1195" t="s">
        <v>103</v>
      </c>
      <c r="D8" s="1195"/>
      <c r="E8" s="1195"/>
      <c r="F8" s="1195"/>
      <c r="G8" s="1195"/>
      <c r="H8" s="1195"/>
      <c r="I8" s="1195"/>
      <c r="J8" s="1195"/>
      <c r="K8" s="1195"/>
      <c r="L8" s="1195"/>
      <c r="M8" s="1192"/>
      <c r="N8" s="1192"/>
      <c r="O8" s="1192"/>
    </row>
    <row r="9" spans="1:15">
      <c r="A9" s="2591"/>
      <c r="B9" s="2591"/>
      <c r="C9" s="1195" t="s">
        <v>431</v>
      </c>
      <c r="D9" s="1195"/>
      <c r="E9" s="1195"/>
      <c r="F9" s="1195"/>
      <c r="G9" s="1195"/>
      <c r="H9" s="1195"/>
      <c r="I9" s="1195"/>
      <c r="J9" s="1195"/>
      <c r="K9" s="1195"/>
      <c r="L9" s="1195"/>
      <c r="M9" s="1192"/>
      <c r="N9" s="1192"/>
      <c r="O9" s="1192"/>
    </row>
    <row r="10" spans="1:15">
      <c r="A10" s="2591">
        <v>4</v>
      </c>
      <c r="B10" s="2591" t="s">
        <v>2433</v>
      </c>
      <c r="C10" s="1195" t="s">
        <v>103</v>
      </c>
      <c r="D10" s="1195"/>
      <c r="E10" s="1195"/>
      <c r="F10" s="1195"/>
      <c r="G10" s="1195"/>
      <c r="H10" s="1195"/>
      <c r="I10" s="1195"/>
      <c r="J10" s="1195"/>
      <c r="K10" s="1195"/>
      <c r="L10" s="1195"/>
      <c r="M10" s="1192"/>
      <c r="N10" s="1192"/>
      <c r="O10" s="1192"/>
    </row>
    <row r="11" spans="1:15">
      <c r="A11" s="2591"/>
      <c r="B11" s="2591"/>
      <c r="C11" s="1195" t="s">
        <v>431</v>
      </c>
      <c r="D11" s="1195"/>
      <c r="E11" s="1195"/>
      <c r="F11" s="1195"/>
      <c r="G11" s="1195"/>
      <c r="H11" s="1195"/>
      <c r="I11" s="1195"/>
      <c r="J11" s="1195"/>
      <c r="K11" s="1195"/>
      <c r="L11" s="1195"/>
      <c r="M11" s="1192"/>
      <c r="N11" s="1192"/>
      <c r="O11" s="1192"/>
    </row>
    <row r="12" spans="1:15" ht="31.5" customHeight="1">
      <c r="A12" s="2591">
        <v>5</v>
      </c>
      <c r="B12" s="2591" t="s">
        <v>2434</v>
      </c>
      <c r="C12" s="1195" t="s">
        <v>103</v>
      </c>
      <c r="D12" s="1195"/>
      <c r="E12" s="1195"/>
      <c r="F12" s="1195"/>
      <c r="G12" s="1195"/>
      <c r="H12" s="1195"/>
      <c r="I12" s="1195"/>
      <c r="J12" s="1195"/>
      <c r="K12" s="1195"/>
      <c r="L12" s="1195"/>
      <c r="M12" s="1192"/>
      <c r="N12" s="1192"/>
      <c r="O12" s="1192"/>
    </row>
    <row r="13" spans="1:15" ht="31.5" customHeight="1">
      <c r="A13" s="2591"/>
      <c r="B13" s="2591"/>
      <c r="C13" s="1195" t="s">
        <v>431</v>
      </c>
      <c r="D13" s="1195"/>
      <c r="E13" s="1195"/>
      <c r="F13" s="1195"/>
      <c r="G13" s="1195"/>
      <c r="H13" s="1195"/>
      <c r="I13" s="1195"/>
      <c r="J13" s="1195"/>
      <c r="K13" s="1195"/>
      <c r="L13" s="1195"/>
      <c r="M13" s="1192"/>
      <c r="N13" s="1192"/>
      <c r="O13" s="1192"/>
    </row>
    <row r="14" spans="1:15" ht="30.75" customHeight="1">
      <c r="A14" s="2591">
        <v>6</v>
      </c>
      <c r="B14" s="2591" t="s">
        <v>2435</v>
      </c>
      <c r="C14" s="1195" t="s">
        <v>103</v>
      </c>
      <c r="D14" s="1195"/>
      <c r="E14" s="1195"/>
      <c r="F14" s="1195"/>
      <c r="G14" s="1195"/>
      <c r="H14" s="1195"/>
      <c r="I14" s="1195"/>
      <c r="J14" s="1195"/>
      <c r="K14" s="1195"/>
      <c r="L14" s="1195"/>
      <c r="M14" s="1192"/>
      <c r="N14" s="1192"/>
      <c r="O14" s="1192"/>
    </row>
    <row r="15" spans="1:15" ht="35.25" customHeight="1">
      <c r="A15" s="2591"/>
      <c r="B15" s="2591"/>
      <c r="C15" s="1195" t="s">
        <v>431</v>
      </c>
      <c r="D15" s="1195"/>
      <c r="E15" s="1195"/>
      <c r="F15" s="1195"/>
      <c r="G15" s="1195"/>
      <c r="H15" s="1195"/>
      <c r="I15" s="1195"/>
      <c r="J15" s="1195"/>
      <c r="K15" s="1195"/>
      <c r="L15" s="1195"/>
      <c r="M15" s="1192"/>
      <c r="N15" s="1192"/>
      <c r="O15" s="1192"/>
    </row>
    <row r="16" spans="1:15">
      <c r="A16" s="1192"/>
      <c r="B16" s="1192"/>
      <c r="C16" s="1192"/>
      <c r="D16" s="1192"/>
      <c r="E16" s="1192"/>
      <c r="F16" s="1192"/>
      <c r="G16" s="1192"/>
      <c r="H16" s="1192"/>
      <c r="I16" s="1192"/>
      <c r="J16" s="1192"/>
      <c r="K16" s="1192"/>
      <c r="L16" s="1192"/>
      <c r="M16" s="1192"/>
      <c r="N16" s="1192"/>
      <c r="O16" s="1192"/>
    </row>
    <row r="17" spans="1:15">
      <c r="A17" s="1192"/>
      <c r="B17" s="1192"/>
      <c r="C17" s="1192"/>
      <c r="D17" s="1192"/>
      <c r="E17" s="1192"/>
      <c r="F17" s="1192"/>
      <c r="G17" s="1192"/>
      <c r="H17" s="1192"/>
      <c r="I17" s="1192"/>
      <c r="J17" s="1192"/>
      <c r="K17" s="1192"/>
      <c r="L17" s="1192"/>
      <c r="M17" s="1192"/>
      <c r="N17" s="1192"/>
      <c r="O17" s="1192"/>
    </row>
    <row r="18" spans="1:15">
      <c r="A18" s="1192"/>
      <c r="B18" s="1192"/>
      <c r="C18" s="1192"/>
      <c r="D18" s="1192"/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  <c r="O18" s="1192"/>
    </row>
    <row r="19" spans="1:15">
      <c r="A19" s="1192"/>
      <c r="B19" s="1192"/>
      <c r="C19" s="1192"/>
      <c r="D19" s="1192"/>
      <c r="E19" s="1192"/>
      <c r="F19" s="1192"/>
      <c r="G19" s="1192"/>
      <c r="H19" s="1192"/>
      <c r="I19" s="1192"/>
      <c r="J19" s="1192"/>
      <c r="K19" s="1192"/>
      <c r="L19" s="1192"/>
      <c r="M19" s="1192"/>
      <c r="N19" s="1192"/>
      <c r="O19" s="1192"/>
    </row>
    <row r="20" spans="1:15">
      <c r="A20" s="1192"/>
      <c r="B20" s="1192"/>
      <c r="C20" s="1192"/>
      <c r="D20" s="1192"/>
      <c r="E20" s="1192"/>
      <c r="F20" s="1192"/>
      <c r="G20" s="1192"/>
      <c r="H20" s="1192"/>
      <c r="I20" s="1192"/>
      <c r="J20" s="1192"/>
      <c r="K20" s="1192"/>
      <c r="L20" s="1192"/>
      <c r="M20" s="1192"/>
      <c r="N20" s="1192"/>
      <c r="O20" s="1192"/>
    </row>
    <row r="21" spans="1:15">
      <c r="A21" s="1192"/>
      <c r="B21" s="1192"/>
      <c r="C21" s="1192"/>
      <c r="D21" s="1192"/>
      <c r="E21" s="1192"/>
      <c r="F21" s="1192"/>
      <c r="G21" s="1192"/>
      <c r="H21" s="1192"/>
      <c r="I21" s="1192"/>
      <c r="J21" s="1192"/>
      <c r="K21" s="1192"/>
      <c r="L21" s="1192"/>
      <c r="M21" s="1192"/>
      <c r="N21" s="1192"/>
      <c r="O21" s="1192"/>
    </row>
    <row r="22" spans="1:15">
      <c r="A22" s="1192"/>
      <c r="B22" s="1192"/>
      <c r="C22" s="1192"/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</row>
    <row r="23" spans="1:15">
      <c r="A23" s="1192"/>
      <c r="B23" s="1192"/>
      <c r="C23" s="1192"/>
      <c r="D23" s="1192"/>
      <c r="E23" s="1192"/>
      <c r="F23" s="1192"/>
      <c r="G23" s="1192"/>
      <c r="H23" s="1192"/>
      <c r="I23" s="1192"/>
      <c r="J23" s="1192"/>
      <c r="K23" s="1192"/>
      <c r="L23" s="1192"/>
      <c r="M23" s="1192"/>
      <c r="N23" s="1192"/>
      <c r="O23" s="1192"/>
    </row>
    <row r="24" spans="1:15">
      <c r="A24" s="1192"/>
      <c r="B24" s="1192"/>
      <c r="C24" s="1192"/>
      <c r="D24" s="1192"/>
      <c r="E24" s="1192"/>
      <c r="F24" s="1192"/>
      <c r="G24" s="1192"/>
      <c r="H24" s="1192"/>
      <c r="I24" s="1192"/>
      <c r="J24" s="1192"/>
      <c r="K24" s="1192"/>
      <c r="L24" s="1192"/>
      <c r="M24" s="1192"/>
      <c r="N24" s="1192"/>
      <c r="O24" s="1192"/>
    </row>
    <row r="25" spans="1:15">
      <c r="A25" s="1192"/>
      <c r="B25" s="1192"/>
      <c r="C25" s="1192"/>
      <c r="D25" s="1192"/>
      <c r="E25" s="1192"/>
      <c r="F25" s="1192"/>
      <c r="G25" s="1192"/>
      <c r="H25" s="1192"/>
      <c r="I25" s="1192"/>
      <c r="J25" s="1192"/>
      <c r="K25" s="1192"/>
      <c r="L25" s="1192"/>
      <c r="M25" s="1192"/>
      <c r="N25" s="1192"/>
      <c r="O25" s="1192"/>
    </row>
    <row r="26" spans="1:15">
      <c r="A26" s="1192"/>
      <c r="B26" s="1192"/>
      <c r="C26" s="1192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</row>
    <row r="27" spans="1:15">
      <c r="A27" s="1192"/>
      <c r="B27" s="1192"/>
      <c r="C27" s="1192"/>
      <c r="D27" s="1192"/>
      <c r="E27" s="1192"/>
      <c r="F27" s="1192"/>
      <c r="G27" s="1192"/>
      <c r="H27" s="1192"/>
      <c r="I27" s="1192"/>
      <c r="J27" s="1192"/>
      <c r="K27" s="1192"/>
      <c r="L27" s="1192"/>
      <c r="M27" s="1192"/>
      <c r="N27" s="1192"/>
      <c r="O27" s="1192"/>
    </row>
    <row r="28" spans="1:15">
      <c r="A28" s="1192"/>
      <c r="B28" s="1192"/>
      <c r="C28" s="1192"/>
      <c r="D28" s="1192"/>
      <c r="E28" s="1192"/>
      <c r="F28" s="1192"/>
      <c r="G28" s="1192"/>
      <c r="H28" s="1192"/>
      <c r="I28" s="1192"/>
      <c r="J28" s="1192"/>
      <c r="K28" s="1192"/>
      <c r="L28" s="1192"/>
      <c r="M28" s="1192"/>
      <c r="N28" s="1192"/>
      <c r="O28" s="1192"/>
    </row>
    <row r="29" spans="1:15">
      <c r="A29" s="1192"/>
      <c r="B29" s="1192"/>
      <c r="C29" s="1192"/>
      <c r="D29" s="1192"/>
      <c r="E29" s="1192"/>
      <c r="F29" s="1192"/>
      <c r="G29" s="1192"/>
      <c r="H29" s="1192"/>
      <c r="I29" s="1192"/>
      <c r="J29" s="1192"/>
      <c r="K29" s="1192"/>
      <c r="L29" s="1192"/>
      <c r="M29" s="1192"/>
      <c r="N29" s="1192"/>
      <c r="O29" s="1192"/>
    </row>
    <row r="30" spans="1:15">
      <c r="A30" s="1192"/>
      <c r="B30" s="1192"/>
      <c r="C30" s="1192"/>
      <c r="D30" s="1192"/>
      <c r="E30" s="1192"/>
      <c r="F30" s="1192"/>
      <c r="G30" s="1192"/>
      <c r="H30" s="1192"/>
      <c r="I30" s="1192"/>
      <c r="J30" s="1192"/>
      <c r="K30" s="1192"/>
      <c r="L30" s="1192"/>
      <c r="M30" s="1192"/>
      <c r="N30" s="1192"/>
      <c r="O30" s="1192"/>
    </row>
    <row r="31" spans="1:15">
      <c r="A31" s="1192"/>
      <c r="B31" s="1192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</row>
    <row r="32" spans="1:15">
      <c r="A32" s="1192"/>
      <c r="B32" s="1192"/>
      <c r="C32" s="1192"/>
      <c r="D32" s="1192"/>
      <c r="E32" s="1192"/>
      <c r="F32" s="1192"/>
      <c r="G32" s="1192"/>
      <c r="H32" s="1192"/>
      <c r="I32" s="1192"/>
      <c r="J32" s="1192"/>
      <c r="K32" s="1192"/>
      <c r="L32" s="1192"/>
      <c r="M32" s="1192"/>
      <c r="N32" s="1192"/>
      <c r="O32" s="1192"/>
    </row>
    <row r="33" spans="1:15">
      <c r="A33" s="1192"/>
      <c r="B33" s="1192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</row>
    <row r="34" spans="1:15">
      <c r="A34" s="1192"/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</row>
    <row r="35" spans="1:15">
      <c r="A35" s="1192"/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</row>
    <row r="36" spans="1:15">
      <c r="A36" s="1192"/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</row>
    <row r="37" spans="1:15">
      <c r="A37" s="1192"/>
      <c r="B37" s="1192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</row>
    <row r="38" spans="1:15">
      <c r="A38" s="1192"/>
      <c r="B38" s="1192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</row>
    <row r="39" spans="1:15">
      <c r="A39" s="1192"/>
      <c r="B39" s="1192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</row>
    <row r="40" spans="1:15">
      <c r="A40" s="1192"/>
      <c r="B40" s="1192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</row>
    <row r="41" spans="1:15">
      <c r="A41" s="1192"/>
      <c r="B41" s="1192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</row>
    <row r="42" spans="1:15">
      <c r="A42" s="1192"/>
      <c r="B42" s="1192"/>
      <c r="C42" s="1192"/>
      <c r="D42" s="1192"/>
      <c r="E42" s="1192"/>
      <c r="F42" s="1192"/>
      <c r="G42" s="1192"/>
      <c r="H42" s="1192"/>
      <c r="I42" s="1192"/>
      <c r="J42" s="1192"/>
      <c r="K42" s="1192"/>
      <c r="L42" s="1192"/>
      <c r="M42" s="1192"/>
      <c r="N42" s="1192"/>
      <c r="O42" s="1192"/>
    </row>
    <row r="43" spans="1:15">
      <c r="A43" s="1192"/>
      <c r="B43" s="1192"/>
      <c r="C43" s="1192"/>
      <c r="D43" s="1192"/>
      <c r="E43" s="1192"/>
      <c r="F43" s="1192"/>
      <c r="G43" s="1192"/>
      <c r="H43" s="1192"/>
      <c r="I43" s="1192"/>
      <c r="J43" s="1192"/>
      <c r="K43" s="1192"/>
      <c r="L43" s="1192"/>
      <c r="M43" s="1192"/>
      <c r="N43" s="1192"/>
      <c r="O43" s="1192"/>
    </row>
    <row r="44" spans="1:15">
      <c r="A44" s="1192"/>
      <c r="B44" s="1192"/>
      <c r="C44" s="1192"/>
      <c r="D44" s="1192"/>
      <c r="E44" s="1192"/>
      <c r="F44" s="1192"/>
      <c r="G44" s="1192"/>
      <c r="H44" s="1192"/>
      <c r="I44" s="1192"/>
      <c r="J44" s="1192"/>
      <c r="K44" s="1192"/>
      <c r="L44" s="1192"/>
      <c r="M44" s="1192"/>
      <c r="N44" s="1192"/>
      <c r="O44" s="1192"/>
    </row>
    <row r="45" spans="1:15">
      <c r="A45" s="1192"/>
      <c r="B45" s="1192"/>
      <c r="C45" s="1192"/>
      <c r="D45" s="1192"/>
      <c r="E45" s="1192"/>
      <c r="F45" s="1192"/>
      <c r="G45" s="1192"/>
      <c r="H45" s="1192"/>
      <c r="I45" s="1192"/>
      <c r="J45" s="1192"/>
      <c r="K45" s="1192"/>
      <c r="L45" s="1192"/>
      <c r="M45" s="1192"/>
      <c r="N45" s="1192"/>
      <c r="O45" s="1192"/>
    </row>
    <row r="46" spans="1:15">
      <c r="A46" s="1192"/>
      <c r="B46" s="1192"/>
      <c r="C46" s="1192"/>
      <c r="D46" s="1192"/>
      <c r="E46" s="1192"/>
      <c r="F46" s="1192"/>
      <c r="G46" s="1192"/>
      <c r="H46" s="1192"/>
      <c r="I46" s="1192"/>
      <c r="J46" s="1192"/>
      <c r="K46" s="1192"/>
      <c r="L46" s="1192"/>
      <c r="M46" s="1192"/>
      <c r="N46" s="1192"/>
      <c r="O46" s="1192"/>
    </row>
    <row r="47" spans="1:15">
      <c r="A47" s="1192"/>
      <c r="B47" s="1192"/>
      <c r="C47" s="1192"/>
      <c r="D47" s="1192"/>
      <c r="E47" s="1192"/>
      <c r="F47" s="1192"/>
      <c r="G47" s="1192"/>
      <c r="H47" s="1192"/>
      <c r="I47" s="1192"/>
      <c r="J47" s="1192"/>
      <c r="K47" s="1192"/>
      <c r="L47" s="1192"/>
      <c r="M47" s="1192"/>
      <c r="N47" s="1192"/>
      <c r="O47" s="1192"/>
    </row>
    <row r="48" spans="1:15">
      <c r="A48" s="1192"/>
      <c r="B48" s="1192"/>
      <c r="C48" s="1192"/>
      <c r="D48" s="1192"/>
      <c r="E48" s="1192"/>
      <c r="F48" s="1192"/>
      <c r="G48" s="1192"/>
      <c r="H48" s="1192"/>
      <c r="I48" s="1192"/>
      <c r="J48" s="1192"/>
      <c r="K48" s="1192"/>
      <c r="L48" s="1192"/>
      <c r="M48" s="1192"/>
      <c r="N48" s="1192"/>
      <c r="O48" s="1192"/>
    </row>
    <row r="49" spans="1:15">
      <c r="A49" s="1192"/>
      <c r="B49" s="1192"/>
      <c r="C49" s="1192"/>
      <c r="D49" s="1192"/>
      <c r="E49" s="1192"/>
      <c r="F49" s="1192"/>
      <c r="G49" s="1192"/>
      <c r="H49" s="1192"/>
      <c r="I49" s="1192"/>
      <c r="J49" s="1192"/>
      <c r="K49" s="1192"/>
      <c r="L49" s="1192"/>
      <c r="M49" s="1192"/>
      <c r="N49" s="1192"/>
      <c r="O49" s="1192"/>
    </row>
    <row r="50" spans="1:15">
      <c r="A50" s="1192"/>
      <c r="B50" s="1192"/>
      <c r="C50" s="1192"/>
      <c r="D50" s="1192"/>
      <c r="E50" s="1192"/>
      <c r="F50" s="1192"/>
      <c r="G50" s="1192"/>
      <c r="H50" s="1192"/>
      <c r="I50" s="1192"/>
      <c r="J50" s="1192"/>
      <c r="K50" s="1192"/>
      <c r="L50" s="1192"/>
      <c r="M50" s="1192"/>
      <c r="N50" s="1192"/>
      <c r="O50" s="1192"/>
    </row>
    <row r="51" spans="1:15">
      <c r="A51" s="1192"/>
      <c r="B51" s="1192"/>
      <c r="C51" s="1192"/>
      <c r="D51" s="1192"/>
      <c r="E51" s="1192"/>
      <c r="F51" s="1192"/>
      <c r="G51" s="1192"/>
      <c r="H51" s="1192"/>
      <c r="I51" s="1192"/>
      <c r="J51" s="1192"/>
      <c r="K51" s="1192"/>
      <c r="L51" s="1192"/>
      <c r="M51" s="1192"/>
      <c r="N51" s="1192"/>
      <c r="O51" s="1192"/>
    </row>
    <row r="52" spans="1:15">
      <c r="A52" s="1192"/>
      <c r="B52" s="1192"/>
      <c r="C52" s="1192"/>
      <c r="D52" s="1192"/>
      <c r="E52" s="1192"/>
      <c r="F52" s="1192"/>
      <c r="G52" s="1192"/>
      <c r="H52" s="1192"/>
      <c r="I52" s="1192"/>
      <c r="J52" s="1192"/>
      <c r="K52" s="1192"/>
      <c r="L52" s="1192"/>
      <c r="M52" s="1192"/>
      <c r="N52" s="1192"/>
      <c r="O52" s="1192"/>
    </row>
    <row r="53" spans="1:15">
      <c r="A53" s="1192"/>
      <c r="B53" s="1192"/>
      <c r="C53" s="1192"/>
      <c r="D53" s="1192"/>
      <c r="E53" s="1192"/>
      <c r="F53" s="1192"/>
      <c r="G53" s="1192"/>
      <c r="H53" s="1192"/>
      <c r="I53" s="1192"/>
      <c r="J53" s="1192"/>
      <c r="K53" s="1192"/>
      <c r="L53" s="1192"/>
      <c r="M53" s="1192"/>
      <c r="N53" s="1192"/>
      <c r="O53" s="1192"/>
    </row>
    <row r="54" spans="1:15">
      <c r="A54" s="1192"/>
      <c r="B54" s="1192"/>
      <c r="C54" s="1192"/>
      <c r="D54" s="1192"/>
      <c r="E54" s="1192"/>
      <c r="F54" s="1192"/>
      <c r="G54" s="1192"/>
      <c r="H54" s="1192"/>
      <c r="I54" s="1192"/>
      <c r="J54" s="1192"/>
      <c r="K54" s="1192"/>
      <c r="L54" s="1192"/>
      <c r="M54" s="1192"/>
      <c r="N54" s="1192"/>
      <c r="O54" s="1192"/>
    </row>
    <row r="55" spans="1:15">
      <c r="A55" s="1192"/>
      <c r="B55" s="1192"/>
      <c r="C55" s="1192"/>
      <c r="D55" s="1192"/>
      <c r="E55" s="1192"/>
      <c r="F55" s="1192"/>
      <c r="G55" s="1192"/>
      <c r="H55" s="1192"/>
      <c r="I55" s="1192"/>
      <c r="J55" s="1192"/>
      <c r="K55" s="1192"/>
      <c r="L55" s="1192"/>
      <c r="M55" s="1192"/>
      <c r="N55" s="1192"/>
      <c r="O55" s="1192"/>
    </row>
    <row r="56" spans="1:15">
      <c r="A56" s="1192"/>
      <c r="B56" s="1192"/>
      <c r="C56" s="1192"/>
      <c r="D56" s="1192"/>
      <c r="E56" s="1192"/>
      <c r="F56" s="1192"/>
      <c r="G56" s="1192"/>
      <c r="H56" s="1192"/>
      <c r="I56" s="1192"/>
      <c r="J56" s="1192"/>
      <c r="K56" s="1192"/>
      <c r="L56" s="1192"/>
      <c r="M56" s="1192"/>
      <c r="N56" s="1192"/>
      <c r="O56" s="1192"/>
    </row>
    <row r="57" spans="1:15">
      <c r="A57" s="1192"/>
      <c r="B57" s="1192"/>
      <c r="C57" s="1192"/>
      <c r="D57" s="1192"/>
      <c r="E57" s="1192"/>
      <c r="F57" s="1192"/>
      <c r="G57" s="1192"/>
      <c r="H57" s="1192"/>
      <c r="I57" s="1192"/>
      <c r="J57" s="1192"/>
      <c r="K57" s="1192"/>
      <c r="L57" s="1192"/>
      <c r="M57" s="1192"/>
      <c r="N57" s="1192"/>
      <c r="O57" s="1192"/>
    </row>
    <row r="58" spans="1:15">
      <c r="A58" s="1192"/>
      <c r="B58" s="1192"/>
      <c r="C58" s="1192"/>
      <c r="D58" s="1192"/>
      <c r="E58" s="1192"/>
      <c r="F58" s="1192"/>
      <c r="G58" s="1192"/>
      <c r="H58" s="1192"/>
      <c r="I58" s="1192"/>
      <c r="J58" s="1192"/>
      <c r="K58" s="1192"/>
      <c r="L58" s="1192"/>
      <c r="M58" s="1192"/>
      <c r="N58" s="1192"/>
      <c r="O58" s="1192"/>
    </row>
    <row r="59" spans="1:15">
      <c r="A59" s="1192"/>
      <c r="B59" s="1192"/>
      <c r="C59" s="1192"/>
      <c r="D59" s="1192"/>
      <c r="E59" s="1192"/>
      <c r="F59" s="1192"/>
      <c r="G59" s="1192"/>
      <c r="H59" s="1192"/>
      <c r="I59" s="1192"/>
      <c r="J59" s="1192"/>
      <c r="K59" s="1192"/>
      <c r="L59" s="1192"/>
      <c r="M59" s="1192"/>
      <c r="N59" s="1192"/>
      <c r="O59" s="1192"/>
    </row>
    <row r="60" spans="1:15">
      <c r="A60" s="1192"/>
      <c r="B60" s="1192"/>
      <c r="C60" s="1192"/>
      <c r="D60" s="1192"/>
      <c r="E60" s="1192"/>
      <c r="F60" s="1192"/>
      <c r="G60" s="1192"/>
      <c r="H60" s="1192"/>
      <c r="I60" s="1192"/>
      <c r="J60" s="1192"/>
      <c r="K60" s="1192"/>
      <c r="L60" s="1192"/>
      <c r="M60" s="1192"/>
      <c r="N60" s="1192"/>
      <c r="O60" s="1192"/>
    </row>
    <row r="61" spans="1:15">
      <c r="A61" s="1192"/>
      <c r="B61" s="1192"/>
      <c r="C61" s="1192"/>
      <c r="D61" s="1192"/>
      <c r="E61" s="1192"/>
      <c r="F61" s="1192"/>
      <c r="G61" s="1192"/>
      <c r="H61" s="1192"/>
      <c r="I61" s="1192"/>
      <c r="J61" s="1192"/>
      <c r="K61" s="1192"/>
      <c r="L61" s="1192"/>
      <c r="M61" s="1192"/>
      <c r="N61" s="1192"/>
      <c r="O61" s="1192"/>
    </row>
    <row r="62" spans="1:15">
      <c r="A62" s="1192"/>
      <c r="B62" s="1192"/>
      <c r="C62" s="1192"/>
      <c r="D62" s="1192"/>
      <c r="E62" s="1192"/>
      <c r="F62" s="1192"/>
      <c r="G62" s="1192"/>
      <c r="H62" s="1192"/>
      <c r="I62" s="1192"/>
      <c r="J62" s="1192"/>
      <c r="K62" s="1192"/>
      <c r="L62" s="1192"/>
      <c r="M62" s="1192"/>
      <c r="N62" s="1192"/>
      <c r="O62" s="1192"/>
    </row>
    <row r="63" spans="1:15">
      <c r="A63" s="1192"/>
      <c r="B63" s="1192"/>
      <c r="C63" s="1192"/>
      <c r="D63" s="1192"/>
      <c r="E63" s="1192"/>
      <c r="F63" s="1192"/>
      <c r="G63" s="1192"/>
      <c r="H63" s="1192"/>
      <c r="I63" s="1192"/>
      <c r="J63" s="1192"/>
      <c r="K63" s="1192"/>
      <c r="L63" s="1192"/>
      <c r="M63" s="1192"/>
      <c r="N63" s="1192"/>
      <c r="O63" s="1192"/>
    </row>
    <row r="64" spans="1:15">
      <c r="A64" s="1192"/>
      <c r="B64" s="1192"/>
      <c r="C64" s="1192"/>
      <c r="D64" s="1192"/>
      <c r="E64" s="1192"/>
      <c r="F64" s="1192"/>
      <c r="G64" s="1192"/>
      <c r="H64" s="1192"/>
      <c r="I64" s="1192"/>
      <c r="J64" s="1192"/>
      <c r="K64" s="1192"/>
      <c r="L64" s="1192"/>
      <c r="M64" s="1192"/>
      <c r="N64" s="1192"/>
      <c r="O64" s="1192"/>
    </row>
    <row r="65" spans="1:15">
      <c r="A65" s="1192"/>
      <c r="B65" s="1192"/>
      <c r="C65" s="1192"/>
      <c r="D65" s="1192"/>
      <c r="E65" s="1192"/>
      <c r="F65" s="1192"/>
      <c r="G65" s="1192"/>
      <c r="H65" s="1192"/>
      <c r="I65" s="1192"/>
      <c r="J65" s="1192"/>
      <c r="K65" s="1192"/>
      <c r="L65" s="1192"/>
      <c r="M65" s="1192"/>
      <c r="N65" s="1192"/>
      <c r="O65" s="1192"/>
    </row>
    <row r="66" spans="1:15">
      <c r="A66" s="1192"/>
      <c r="B66" s="1192"/>
      <c r="C66" s="1192"/>
      <c r="D66" s="1192"/>
      <c r="E66" s="1192"/>
      <c r="F66" s="1192"/>
      <c r="G66" s="1192"/>
      <c r="H66" s="1192"/>
      <c r="I66" s="1192"/>
      <c r="J66" s="1192"/>
      <c r="K66" s="1192"/>
      <c r="L66" s="1192"/>
      <c r="M66" s="1192"/>
      <c r="N66" s="1192"/>
      <c r="O66" s="1192"/>
    </row>
    <row r="67" spans="1:15">
      <c r="A67" s="1192"/>
      <c r="B67" s="1192"/>
      <c r="C67" s="1192"/>
      <c r="D67" s="1192"/>
      <c r="E67" s="1192"/>
      <c r="F67" s="1192"/>
      <c r="G67" s="1192"/>
      <c r="H67" s="1192"/>
      <c r="I67" s="1192"/>
      <c r="J67" s="1192"/>
      <c r="K67" s="1192"/>
      <c r="L67" s="1192"/>
      <c r="M67" s="1192"/>
      <c r="N67" s="1192"/>
      <c r="O67" s="1192"/>
    </row>
    <row r="68" spans="1:15">
      <c r="A68" s="1192"/>
      <c r="B68" s="1192"/>
      <c r="C68" s="1192"/>
      <c r="D68" s="1192"/>
      <c r="E68" s="1192"/>
      <c r="F68" s="1192"/>
      <c r="G68" s="1192"/>
      <c r="H68" s="1192"/>
      <c r="I68" s="1192"/>
      <c r="J68" s="1192"/>
      <c r="K68" s="1192"/>
      <c r="L68" s="1192"/>
      <c r="M68" s="1192"/>
      <c r="N68" s="1192"/>
      <c r="O68" s="1192"/>
    </row>
    <row r="69" spans="1:15">
      <c r="A69" s="1192"/>
      <c r="B69" s="1192"/>
      <c r="C69" s="1192"/>
      <c r="D69" s="1192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</row>
    <row r="70" spans="1:15">
      <c r="A70" s="1192"/>
      <c r="B70" s="1192"/>
      <c r="C70" s="1192"/>
      <c r="D70" s="1192"/>
      <c r="E70" s="1192"/>
      <c r="F70" s="1192"/>
      <c r="G70" s="1192"/>
      <c r="H70" s="1192"/>
      <c r="I70" s="1192"/>
      <c r="J70" s="1192"/>
      <c r="K70" s="1192"/>
      <c r="L70" s="1192"/>
      <c r="M70" s="1192"/>
      <c r="N70" s="1192"/>
      <c r="O70" s="1192"/>
    </row>
    <row r="71" spans="1:15">
      <c r="A71" s="1192"/>
      <c r="B71" s="1192"/>
      <c r="C71" s="1192"/>
      <c r="D71" s="1192"/>
      <c r="E71" s="1192"/>
      <c r="F71" s="1192"/>
      <c r="G71" s="1192"/>
      <c r="H71" s="1192"/>
      <c r="I71" s="1192"/>
      <c r="J71" s="1192"/>
      <c r="K71" s="1192"/>
      <c r="L71" s="1192"/>
      <c r="M71" s="1192"/>
      <c r="N71" s="1192"/>
      <c r="O71" s="1192"/>
    </row>
    <row r="72" spans="1:15">
      <c r="A72" s="1192"/>
      <c r="B72" s="1192"/>
      <c r="C72" s="1192"/>
      <c r="D72" s="1192"/>
      <c r="E72" s="1192"/>
      <c r="F72" s="1192"/>
      <c r="G72" s="1192"/>
      <c r="H72" s="1192"/>
      <c r="I72" s="1192"/>
      <c r="J72" s="1192"/>
      <c r="K72" s="1192"/>
      <c r="L72" s="1192"/>
      <c r="M72" s="1192"/>
      <c r="N72" s="1192"/>
      <c r="O72" s="1192"/>
    </row>
    <row r="73" spans="1:15">
      <c r="A73" s="1192"/>
      <c r="B73" s="1192"/>
      <c r="C73" s="1192"/>
      <c r="D73" s="1192"/>
      <c r="E73" s="1192"/>
      <c r="F73" s="1192"/>
      <c r="G73" s="1192"/>
      <c r="H73" s="1192"/>
      <c r="I73" s="1192"/>
      <c r="J73" s="1192"/>
      <c r="K73" s="1192"/>
      <c r="L73" s="1192"/>
      <c r="M73" s="1192"/>
      <c r="N73" s="1192"/>
      <c r="O73" s="1192"/>
    </row>
    <row r="74" spans="1:15">
      <c r="A74" s="1192"/>
      <c r="B74" s="1192"/>
      <c r="C74" s="1192"/>
      <c r="D74" s="1192"/>
      <c r="E74" s="1192"/>
      <c r="F74" s="1192"/>
      <c r="G74" s="1192"/>
      <c r="H74" s="1192"/>
      <c r="I74" s="1192"/>
      <c r="J74" s="1192"/>
      <c r="K74" s="1192"/>
      <c r="L74" s="1192"/>
      <c r="M74" s="1192"/>
      <c r="N74" s="1192"/>
      <c r="O74" s="1192"/>
    </row>
    <row r="75" spans="1:15">
      <c r="A75" s="1192"/>
      <c r="B75" s="1192"/>
      <c r="C75" s="1192"/>
      <c r="D75" s="1192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</row>
    <row r="76" spans="1:15">
      <c r="A76" s="1192"/>
      <c r="B76" s="1192"/>
      <c r="C76" s="1192"/>
      <c r="D76" s="1192"/>
      <c r="E76" s="1192"/>
      <c r="F76" s="1192"/>
      <c r="G76" s="1192"/>
      <c r="H76" s="1192"/>
      <c r="I76" s="1192"/>
      <c r="J76" s="1192"/>
      <c r="K76" s="1192"/>
      <c r="L76" s="1192"/>
      <c r="M76" s="1192"/>
      <c r="N76" s="1192"/>
      <c r="O76" s="1192"/>
    </row>
    <row r="77" spans="1:15">
      <c r="A77" s="1192"/>
      <c r="B77" s="1192"/>
      <c r="C77" s="1192"/>
      <c r="D77" s="1192"/>
      <c r="E77" s="1192"/>
      <c r="F77" s="1192"/>
      <c r="G77" s="1192"/>
      <c r="H77" s="1192"/>
      <c r="I77" s="1192"/>
      <c r="J77" s="1192"/>
      <c r="K77" s="1192"/>
      <c r="L77" s="1192"/>
      <c r="M77" s="1192"/>
      <c r="N77" s="1192"/>
      <c r="O77" s="1192"/>
    </row>
    <row r="78" spans="1:15">
      <c r="A78" s="1192"/>
      <c r="B78" s="1192"/>
      <c r="C78" s="1192"/>
      <c r="D78" s="1192"/>
      <c r="E78" s="1192"/>
      <c r="F78" s="1192"/>
      <c r="G78" s="1192"/>
      <c r="H78" s="1192"/>
      <c r="I78" s="1192"/>
      <c r="J78" s="1192"/>
      <c r="K78" s="1192"/>
      <c r="L78" s="1192"/>
      <c r="M78" s="1192"/>
      <c r="N78" s="1192"/>
      <c r="O78" s="1192"/>
    </row>
    <row r="79" spans="1:15">
      <c r="A79" s="1192"/>
      <c r="B79" s="1192"/>
      <c r="C79" s="1192"/>
      <c r="D79" s="1192"/>
      <c r="E79" s="1192"/>
      <c r="F79" s="1192"/>
      <c r="G79" s="1192"/>
      <c r="H79" s="1192"/>
      <c r="I79" s="1192"/>
      <c r="J79" s="1192"/>
      <c r="K79" s="1192"/>
      <c r="L79" s="1192"/>
      <c r="M79" s="1192"/>
      <c r="N79" s="1192"/>
      <c r="O79" s="1192"/>
    </row>
    <row r="80" spans="1:15">
      <c r="A80" s="1192"/>
      <c r="B80" s="1192"/>
      <c r="C80" s="1192"/>
      <c r="D80" s="1192"/>
      <c r="E80" s="1192"/>
      <c r="F80" s="1192"/>
      <c r="G80" s="1192"/>
      <c r="H80" s="1192"/>
      <c r="I80" s="1192"/>
      <c r="J80" s="1192"/>
      <c r="K80" s="1192"/>
      <c r="L80" s="1192"/>
      <c r="M80" s="1192"/>
      <c r="N80" s="1192"/>
      <c r="O80" s="1192"/>
    </row>
    <row r="81" spans="1:15">
      <c r="A81" s="1192"/>
      <c r="B81" s="1192"/>
      <c r="C81" s="1192"/>
      <c r="D81" s="1192"/>
      <c r="E81" s="1192"/>
      <c r="F81" s="1192"/>
      <c r="G81" s="1192"/>
      <c r="H81" s="1192"/>
      <c r="I81" s="1192"/>
      <c r="J81" s="1192"/>
      <c r="K81" s="1192"/>
      <c r="L81" s="1192"/>
      <c r="M81" s="1192"/>
      <c r="N81" s="1192"/>
      <c r="O81" s="1192"/>
    </row>
    <row r="82" spans="1:15">
      <c r="A82" s="1192"/>
      <c r="B82" s="1192"/>
      <c r="C82" s="1192"/>
      <c r="D82" s="1192"/>
      <c r="E82" s="1192"/>
      <c r="F82" s="1192"/>
      <c r="G82" s="1192"/>
      <c r="H82" s="1192"/>
      <c r="I82" s="1192"/>
      <c r="J82" s="1192"/>
      <c r="K82" s="1192"/>
      <c r="L82" s="1192"/>
      <c r="M82" s="1192"/>
      <c r="N82" s="1192"/>
      <c r="O82" s="1192"/>
    </row>
    <row r="83" spans="1:15">
      <c r="A83" s="1192"/>
      <c r="B83" s="1192"/>
      <c r="C83" s="1192"/>
      <c r="D83" s="1192"/>
      <c r="E83" s="1192"/>
      <c r="F83" s="1192"/>
      <c r="G83" s="1192"/>
      <c r="H83" s="1192"/>
      <c r="I83" s="1192"/>
      <c r="J83" s="1192"/>
      <c r="K83" s="1192"/>
      <c r="L83" s="1192"/>
      <c r="M83" s="1192"/>
      <c r="N83" s="1192"/>
      <c r="O83" s="1192"/>
    </row>
    <row r="84" spans="1:15">
      <c r="A84" s="1192"/>
      <c r="B84" s="1192"/>
      <c r="C84" s="1192"/>
      <c r="D84" s="1192"/>
      <c r="E84" s="1192"/>
      <c r="F84" s="1192"/>
      <c r="G84" s="1192"/>
      <c r="H84" s="1192"/>
      <c r="I84" s="1192"/>
      <c r="J84" s="1192"/>
      <c r="K84" s="1192"/>
      <c r="L84" s="1192"/>
      <c r="M84" s="1192"/>
      <c r="N84" s="1192"/>
      <c r="O84" s="1192"/>
    </row>
    <row r="85" spans="1:15">
      <c r="A85" s="1192"/>
      <c r="B85" s="1192"/>
      <c r="C85" s="1192"/>
      <c r="D85" s="1192"/>
      <c r="E85" s="1192"/>
      <c r="F85" s="1192"/>
      <c r="G85" s="1192"/>
      <c r="H85" s="1192"/>
      <c r="I85" s="1192"/>
      <c r="J85" s="1192"/>
      <c r="K85" s="1192"/>
      <c r="L85" s="1192"/>
      <c r="M85" s="1192"/>
      <c r="N85" s="1192"/>
      <c r="O85" s="1192"/>
    </row>
    <row r="86" spans="1:15">
      <c r="A86" s="1192"/>
      <c r="B86" s="1192"/>
      <c r="C86" s="1192"/>
      <c r="D86" s="1192"/>
      <c r="E86" s="1192"/>
      <c r="F86" s="1192"/>
      <c r="G86" s="1192"/>
      <c r="H86" s="1192"/>
      <c r="I86" s="1192"/>
      <c r="J86" s="1192"/>
      <c r="K86" s="1192"/>
      <c r="L86" s="1192"/>
      <c r="M86" s="1192"/>
      <c r="N86" s="1192"/>
      <c r="O86" s="1192"/>
    </row>
    <row r="87" spans="1:15">
      <c r="A87" s="1192"/>
      <c r="B87" s="1192"/>
      <c r="C87" s="1192"/>
      <c r="D87" s="1192"/>
      <c r="E87" s="1192"/>
      <c r="F87" s="1192"/>
      <c r="G87" s="1192"/>
      <c r="H87" s="1192"/>
      <c r="I87" s="1192"/>
      <c r="J87" s="1192"/>
      <c r="K87" s="1192"/>
      <c r="L87" s="1192"/>
      <c r="M87" s="1192"/>
      <c r="N87" s="1192"/>
      <c r="O87" s="1192"/>
    </row>
    <row r="88" spans="1:15">
      <c r="A88" s="1192"/>
      <c r="B88" s="1192"/>
      <c r="C88" s="1192"/>
      <c r="D88" s="1192"/>
      <c r="E88" s="1192"/>
      <c r="F88" s="1192"/>
      <c r="G88" s="1192"/>
      <c r="H88" s="1192"/>
      <c r="I88" s="1192"/>
      <c r="J88" s="1192"/>
      <c r="K88" s="1192"/>
      <c r="L88" s="1192"/>
      <c r="M88" s="1192"/>
      <c r="N88" s="1192"/>
      <c r="O88" s="1192"/>
    </row>
    <row r="89" spans="1:15">
      <c r="A89" s="1192"/>
      <c r="B89" s="1192"/>
      <c r="C89" s="1192"/>
      <c r="D89" s="1192"/>
      <c r="E89" s="1192"/>
      <c r="F89" s="1192"/>
      <c r="G89" s="1192"/>
      <c r="H89" s="1192"/>
      <c r="I89" s="1192"/>
      <c r="J89" s="1192"/>
      <c r="K89" s="1192"/>
      <c r="L89" s="1192"/>
      <c r="M89" s="1192"/>
      <c r="N89" s="1192"/>
      <c r="O89" s="1192"/>
    </row>
    <row r="90" spans="1:15">
      <c r="A90" s="1192"/>
      <c r="B90" s="1192"/>
      <c r="C90" s="1192"/>
      <c r="D90" s="1192"/>
      <c r="E90" s="1192"/>
      <c r="F90" s="1192"/>
      <c r="G90" s="1192"/>
      <c r="H90" s="1192"/>
      <c r="I90" s="1192"/>
      <c r="J90" s="1192"/>
      <c r="K90" s="1192"/>
      <c r="L90" s="1192"/>
      <c r="M90" s="1192"/>
      <c r="N90" s="1192"/>
      <c r="O90" s="1192"/>
    </row>
    <row r="91" spans="1:15">
      <c r="A91" s="1192"/>
      <c r="B91" s="1192"/>
      <c r="C91" s="1192"/>
      <c r="D91" s="1192"/>
      <c r="E91" s="1192"/>
      <c r="F91" s="1192"/>
      <c r="G91" s="1192"/>
      <c r="H91" s="1192"/>
      <c r="I91" s="1192"/>
      <c r="J91" s="1192"/>
      <c r="K91" s="1192"/>
      <c r="L91" s="1192"/>
      <c r="M91" s="1192"/>
      <c r="N91" s="1192"/>
      <c r="O91" s="1192"/>
    </row>
    <row r="92" spans="1:15">
      <c r="A92" s="1192"/>
      <c r="B92" s="1192"/>
      <c r="C92" s="1192"/>
      <c r="D92" s="1192"/>
      <c r="E92" s="1192"/>
      <c r="F92" s="1192"/>
      <c r="G92" s="1192"/>
      <c r="H92" s="1192"/>
      <c r="I92" s="1192"/>
      <c r="J92" s="1192"/>
      <c r="K92" s="1192"/>
      <c r="L92" s="1192"/>
      <c r="M92" s="1192"/>
      <c r="N92" s="1192"/>
      <c r="O92" s="1192"/>
    </row>
    <row r="93" spans="1:15">
      <c r="A93" s="1192"/>
      <c r="B93" s="1192"/>
      <c r="C93" s="1192"/>
      <c r="D93" s="1192"/>
      <c r="E93" s="1192"/>
      <c r="F93" s="1192"/>
      <c r="G93" s="1192"/>
      <c r="H93" s="1192"/>
      <c r="I93" s="1192"/>
      <c r="J93" s="1192"/>
      <c r="K93" s="1192"/>
      <c r="L93" s="1192"/>
      <c r="M93" s="1192"/>
      <c r="N93" s="1192"/>
      <c r="O93" s="1192"/>
    </row>
    <row r="94" spans="1:15">
      <c r="A94" s="1192"/>
      <c r="B94" s="1192"/>
      <c r="C94" s="1192"/>
      <c r="D94" s="1192"/>
      <c r="E94" s="1192"/>
      <c r="F94" s="1192"/>
      <c r="G94" s="1192"/>
      <c r="H94" s="1192"/>
      <c r="I94" s="1192"/>
      <c r="J94" s="1192"/>
      <c r="K94" s="1192"/>
      <c r="L94" s="1192"/>
      <c r="M94" s="1192"/>
      <c r="N94" s="1192"/>
      <c r="O94" s="1192"/>
    </row>
    <row r="95" spans="1:15">
      <c r="A95" s="1192"/>
      <c r="B95" s="1192"/>
      <c r="C95" s="1192"/>
      <c r="D95" s="1192"/>
      <c r="E95" s="1192"/>
      <c r="F95" s="1192"/>
      <c r="G95" s="1192"/>
      <c r="H95" s="1192"/>
      <c r="I95" s="1192"/>
      <c r="J95" s="1192"/>
      <c r="K95" s="1192"/>
      <c r="L95" s="1192"/>
      <c r="M95" s="1192"/>
      <c r="N95" s="1192"/>
      <c r="O95" s="1192"/>
    </row>
    <row r="96" spans="1:15">
      <c r="A96" s="1192"/>
      <c r="B96" s="1192"/>
      <c r="C96" s="1192"/>
      <c r="D96" s="1192"/>
      <c r="E96" s="1192"/>
      <c r="F96" s="1192"/>
      <c r="G96" s="1192"/>
      <c r="H96" s="1192"/>
      <c r="I96" s="1192"/>
      <c r="J96" s="1192"/>
      <c r="K96" s="1192"/>
      <c r="L96" s="1192"/>
      <c r="M96" s="1192"/>
      <c r="N96" s="1192"/>
      <c r="O96" s="1192"/>
    </row>
    <row r="97" spans="1:15">
      <c r="A97" s="1192"/>
      <c r="B97" s="1192"/>
      <c r="C97" s="1192"/>
      <c r="D97" s="1192"/>
      <c r="E97" s="1192"/>
      <c r="F97" s="1192"/>
      <c r="G97" s="1192"/>
      <c r="H97" s="1192"/>
      <c r="I97" s="1192"/>
      <c r="J97" s="1192"/>
      <c r="K97" s="1192"/>
      <c r="L97" s="1192"/>
      <c r="M97" s="1192"/>
      <c r="N97" s="1192"/>
      <c r="O97" s="1192"/>
    </row>
    <row r="98" spans="1:15">
      <c r="A98" s="1192"/>
      <c r="B98" s="1192"/>
      <c r="C98" s="1192"/>
      <c r="D98" s="1192"/>
      <c r="E98" s="1192"/>
      <c r="F98" s="1192"/>
      <c r="G98" s="1192"/>
      <c r="H98" s="1192"/>
      <c r="I98" s="1192"/>
      <c r="J98" s="1192"/>
      <c r="K98" s="1192"/>
      <c r="L98" s="1192"/>
      <c r="M98" s="1192"/>
      <c r="N98" s="1192"/>
      <c r="O98" s="1192"/>
    </row>
    <row r="99" spans="1:15">
      <c r="A99" s="1192"/>
      <c r="B99" s="1192"/>
      <c r="C99" s="1192"/>
      <c r="D99" s="1192"/>
      <c r="E99" s="1192"/>
      <c r="F99" s="1192"/>
      <c r="G99" s="1192"/>
      <c r="H99" s="1192"/>
      <c r="I99" s="1192"/>
      <c r="J99" s="1192"/>
      <c r="K99" s="1192"/>
      <c r="L99" s="1192"/>
      <c r="M99" s="1192"/>
      <c r="N99" s="1192"/>
      <c r="O99" s="1192"/>
    </row>
    <row r="100" spans="1:15">
      <c r="A100" s="1192"/>
      <c r="B100" s="1192"/>
      <c r="C100" s="1192"/>
      <c r="D100" s="1192"/>
      <c r="E100" s="1192"/>
      <c r="F100" s="1192"/>
      <c r="G100" s="1192"/>
      <c r="H100" s="1192"/>
      <c r="I100" s="1192"/>
      <c r="J100" s="1192"/>
      <c r="K100" s="1192"/>
      <c r="L100" s="1192"/>
      <c r="M100" s="1192"/>
      <c r="N100" s="1192"/>
      <c r="O100" s="1192"/>
    </row>
    <row r="101" spans="1:15">
      <c r="A101" s="1192"/>
      <c r="B101" s="1192"/>
      <c r="C101" s="1192"/>
      <c r="D101" s="1192"/>
      <c r="E101" s="1192"/>
      <c r="F101" s="1192"/>
      <c r="G101" s="1192"/>
      <c r="H101" s="1192"/>
      <c r="I101" s="1192"/>
      <c r="J101" s="1192"/>
      <c r="K101" s="1192"/>
      <c r="L101" s="1192"/>
      <c r="M101" s="1192"/>
      <c r="N101" s="1192"/>
      <c r="O101" s="1192"/>
    </row>
    <row r="102" spans="1:15">
      <c r="A102" s="1192"/>
      <c r="B102" s="1192"/>
      <c r="C102" s="1192"/>
      <c r="D102" s="1192"/>
      <c r="E102" s="1192"/>
      <c r="F102" s="1192"/>
      <c r="G102" s="1192"/>
      <c r="H102" s="1192"/>
      <c r="I102" s="1192"/>
      <c r="J102" s="1192"/>
      <c r="K102" s="1192"/>
      <c r="L102" s="1192"/>
      <c r="M102" s="1192"/>
      <c r="N102" s="1192"/>
      <c r="O102" s="1192"/>
    </row>
    <row r="103" spans="1:15">
      <c r="A103" s="1192"/>
      <c r="B103" s="1192"/>
      <c r="C103" s="1192"/>
      <c r="D103" s="1192"/>
      <c r="E103" s="1192"/>
      <c r="F103" s="1192"/>
      <c r="G103" s="1192"/>
      <c r="H103" s="1192"/>
      <c r="I103" s="1192"/>
      <c r="J103" s="1192"/>
      <c r="K103" s="1192"/>
      <c r="L103" s="1192"/>
      <c r="M103" s="1192"/>
      <c r="N103" s="1192"/>
      <c r="O103" s="1192"/>
    </row>
    <row r="104" spans="1:15">
      <c r="A104" s="1192"/>
      <c r="B104" s="1192"/>
      <c r="C104" s="1192"/>
      <c r="D104" s="1192"/>
      <c r="E104" s="1192"/>
      <c r="F104" s="1192"/>
      <c r="G104" s="1192"/>
      <c r="H104" s="1192"/>
      <c r="I104" s="1192"/>
      <c r="J104" s="1192"/>
      <c r="K104" s="1192"/>
      <c r="L104" s="1192"/>
      <c r="M104" s="1192"/>
      <c r="N104" s="1192"/>
      <c r="O104" s="1192"/>
    </row>
    <row r="105" spans="1:15">
      <c r="A105" s="1192"/>
      <c r="B105" s="1192"/>
      <c r="C105" s="1192"/>
      <c r="D105" s="1192"/>
      <c r="E105" s="1192"/>
      <c r="F105" s="1192"/>
      <c r="G105" s="1192"/>
      <c r="H105" s="1192"/>
      <c r="I105" s="1192"/>
      <c r="J105" s="1192"/>
      <c r="K105" s="1192"/>
      <c r="L105" s="1192"/>
      <c r="M105" s="1192"/>
      <c r="N105" s="1192"/>
      <c r="O105" s="1192"/>
    </row>
    <row r="106" spans="1:15">
      <c r="A106" s="1192"/>
      <c r="B106" s="1192"/>
      <c r="C106" s="1192"/>
      <c r="D106" s="1192"/>
      <c r="E106" s="1192"/>
      <c r="F106" s="1192"/>
      <c r="G106" s="1192"/>
      <c r="H106" s="1192"/>
      <c r="I106" s="1192"/>
      <c r="J106" s="1192"/>
      <c r="K106" s="1192"/>
      <c r="L106" s="1192"/>
      <c r="M106" s="1192"/>
      <c r="N106" s="1192"/>
      <c r="O106" s="1192"/>
    </row>
    <row r="107" spans="1:15">
      <c r="A107" s="1192"/>
      <c r="B107" s="1192"/>
      <c r="C107" s="1192"/>
      <c r="D107" s="1192"/>
      <c r="E107" s="1192"/>
      <c r="F107" s="1192"/>
      <c r="G107" s="1192"/>
      <c r="H107" s="1192"/>
      <c r="I107" s="1192"/>
      <c r="J107" s="1192"/>
      <c r="K107" s="1192"/>
      <c r="L107" s="1192"/>
      <c r="M107" s="1192"/>
      <c r="N107" s="1192"/>
      <c r="O107" s="1192"/>
    </row>
    <row r="108" spans="1:15">
      <c r="A108" s="1192"/>
      <c r="B108" s="1192"/>
      <c r="C108" s="1192"/>
      <c r="D108" s="1192"/>
      <c r="E108" s="1192"/>
      <c r="F108" s="1192"/>
      <c r="G108" s="1192"/>
      <c r="H108" s="1192"/>
      <c r="I108" s="1192"/>
      <c r="J108" s="1192"/>
      <c r="K108" s="1192"/>
      <c r="L108" s="1192"/>
      <c r="M108" s="1192"/>
      <c r="N108" s="1192"/>
      <c r="O108" s="1192"/>
    </row>
    <row r="109" spans="1:15">
      <c r="A109" s="1192"/>
      <c r="B109" s="1192"/>
      <c r="C109" s="1192"/>
      <c r="D109" s="1192"/>
      <c r="E109" s="1192"/>
      <c r="F109" s="1192"/>
      <c r="G109" s="1192"/>
      <c r="H109" s="1192"/>
      <c r="I109" s="1192"/>
      <c r="J109" s="1192"/>
      <c r="K109" s="1192"/>
      <c r="L109" s="1192"/>
      <c r="M109" s="1192"/>
      <c r="N109" s="1192"/>
      <c r="O109" s="1192"/>
    </row>
    <row r="110" spans="1:15">
      <c r="A110" s="1192"/>
      <c r="B110" s="1192"/>
      <c r="C110" s="1192"/>
      <c r="D110" s="1192"/>
      <c r="E110" s="1192"/>
      <c r="F110" s="1192"/>
      <c r="G110" s="1192"/>
      <c r="H110" s="1192"/>
      <c r="I110" s="1192"/>
      <c r="J110" s="1192"/>
      <c r="K110" s="1192"/>
      <c r="L110" s="1192"/>
      <c r="M110" s="1192"/>
      <c r="N110" s="1192"/>
      <c r="O110" s="1192"/>
    </row>
    <row r="111" spans="1:15">
      <c r="A111" s="1192"/>
      <c r="B111" s="1192"/>
      <c r="C111" s="1192"/>
      <c r="D111" s="1192"/>
      <c r="E111" s="1192"/>
      <c r="F111" s="1192"/>
      <c r="G111" s="1192"/>
      <c r="H111" s="1192"/>
      <c r="I111" s="1192"/>
      <c r="J111" s="1192"/>
      <c r="K111" s="1192"/>
      <c r="L111" s="1192"/>
      <c r="M111" s="1192"/>
      <c r="N111" s="1192"/>
      <c r="O111" s="1192"/>
    </row>
    <row r="112" spans="1:15">
      <c r="A112" s="1192"/>
      <c r="B112" s="1192"/>
      <c r="C112" s="1192"/>
      <c r="D112" s="1192"/>
      <c r="E112" s="1192"/>
      <c r="F112" s="1192"/>
      <c r="G112" s="1192"/>
      <c r="H112" s="1192"/>
      <c r="I112" s="1192"/>
      <c r="J112" s="1192"/>
      <c r="K112" s="1192"/>
      <c r="L112" s="1192"/>
      <c r="M112" s="1192"/>
      <c r="N112" s="1192"/>
      <c r="O112" s="1192"/>
    </row>
    <row r="113" spans="1:15">
      <c r="A113" s="1192"/>
      <c r="B113" s="1192"/>
      <c r="C113" s="1192"/>
      <c r="D113" s="1192"/>
      <c r="E113" s="1192"/>
      <c r="F113" s="1192"/>
      <c r="G113" s="1192"/>
      <c r="H113" s="1192"/>
      <c r="I113" s="1192"/>
      <c r="J113" s="1192"/>
      <c r="K113" s="1192"/>
      <c r="L113" s="1192"/>
      <c r="M113" s="1192"/>
      <c r="N113" s="1192"/>
      <c r="O113" s="1192"/>
    </row>
    <row r="114" spans="1:15">
      <c r="A114" s="1192"/>
      <c r="B114" s="1192"/>
      <c r="C114" s="1192"/>
      <c r="D114" s="1192"/>
      <c r="E114" s="1192"/>
      <c r="F114" s="1192"/>
      <c r="G114" s="1192"/>
      <c r="H114" s="1192"/>
      <c r="I114" s="1192"/>
      <c r="J114" s="1192"/>
      <c r="K114" s="1192"/>
      <c r="L114" s="1192"/>
      <c r="M114" s="1192"/>
      <c r="N114" s="1192"/>
      <c r="O114" s="1192"/>
    </row>
    <row r="115" spans="1:15">
      <c r="A115" s="1192"/>
      <c r="B115" s="1192"/>
      <c r="C115" s="1192"/>
      <c r="D115" s="1192"/>
      <c r="E115" s="1192"/>
      <c r="F115" s="1192"/>
      <c r="G115" s="1192"/>
      <c r="H115" s="1192"/>
      <c r="I115" s="1192"/>
      <c r="J115" s="1192"/>
      <c r="K115" s="1192"/>
      <c r="L115" s="1192"/>
      <c r="M115" s="1192"/>
      <c r="N115" s="1192"/>
      <c r="O115" s="1192"/>
    </row>
    <row r="116" spans="1:15">
      <c r="A116" s="1192"/>
      <c r="B116" s="1192"/>
      <c r="C116" s="1192"/>
      <c r="D116" s="1192"/>
      <c r="E116" s="1192"/>
      <c r="F116" s="1192"/>
      <c r="G116" s="1192"/>
      <c r="H116" s="1192"/>
      <c r="I116" s="1192"/>
      <c r="J116" s="1192"/>
      <c r="K116" s="1192"/>
      <c r="L116" s="1192"/>
      <c r="M116" s="1192"/>
      <c r="N116" s="1192"/>
      <c r="O116" s="1192"/>
    </row>
    <row r="117" spans="1:15">
      <c r="A117" s="1192"/>
      <c r="B117" s="1192"/>
      <c r="C117" s="1192"/>
      <c r="D117" s="1192"/>
      <c r="E117" s="1192"/>
      <c r="F117" s="1192"/>
      <c r="G117" s="1192"/>
      <c r="H117" s="1192"/>
      <c r="I117" s="1192"/>
      <c r="J117" s="1192"/>
      <c r="K117" s="1192"/>
      <c r="L117" s="1192"/>
      <c r="M117" s="1192"/>
      <c r="N117" s="1192"/>
      <c r="O117" s="1192"/>
    </row>
    <row r="118" spans="1:15">
      <c r="A118" s="1192"/>
      <c r="B118" s="1192"/>
      <c r="C118" s="1192"/>
      <c r="D118" s="1192"/>
      <c r="E118" s="1192"/>
      <c r="F118" s="1192"/>
      <c r="G118" s="1192"/>
      <c r="H118" s="1192"/>
      <c r="I118" s="1192"/>
      <c r="J118" s="1192"/>
      <c r="K118" s="1192"/>
      <c r="L118" s="1192"/>
      <c r="M118" s="1192"/>
      <c r="N118" s="1192"/>
      <c r="O118" s="1192"/>
    </row>
    <row r="119" spans="1:15">
      <c r="A119" s="1192"/>
      <c r="B119" s="1192"/>
      <c r="C119" s="1192"/>
      <c r="D119" s="1192"/>
      <c r="E119" s="1192"/>
      <c r="F119" s="1192"/>
      <c r="G119" s="1192"/>
      <c r="H119" s="1192"/>
      <c r="I119" s="1192"/>
      <c r="J119" s="1192"/>
      <c r="K119" s="1192"/>
      <c r="L119" s="1192"/>
      <c r="M119" s="1192"/>
      <c r="N119" s="1192"/>
      <c r="O119" s="1192"/>
    </row>
    <row r="120" spans="1:15">
      <c r="A120" s="1192"/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1192"/>
      <c r="O120" s="1192"/>
    </row>
    <row r="121" spans="1:15">
      <c r="A121" s="1192"/>
      <c r="B121" s="1192"/>
      <c r="C121" s="1192"/>
      <c r="D121" s="1192"/>
      <c r="E121" s="1192"/>
      <c r="F121" s="1192"/>
      <c r="G121" s="1192"/>
      <c r="H121" s="1192"/>
      <c r="I121" s="1192"/>
      <c r="J121" s="1192"/>
      <c r="K121" s="1192"/>
      <c r="L121" s="1192"/>
      <c r="M121" s="1192"/>
      <c r="N121" s="1192"/>
      <c r="O121" s="1192"/>
    </row>
    <row r="122" spans="1:15">
      <c r="A122" s="1192"/>
      <c r="B122" s="1192"/>
      <c r="C122" s="1192"/>
      <c r="D122" s="1192"/>
      <c r="E122" s="1192"/>
      <c r="F122" s="1192"/>
      <c r="G122" s="1192"/>
      <c r="H122" s="1192"/>
      <c r="I122" s="1192"/>
      <c r="J122" s="1192"/>
      <c r="K122" s="1192"/>
      <c r="L122" s="1192"/>
      <c r="M122" s="1192"/>
      <c r="N122" s="1192"/>
      <c r="O122" s="1192"/>
    </row>
    <row r="123" spans="1:15">
      <c r="A123" s="1192"/>
      <c r="B123" s="1192"/>
      <c r="C123" s="1192"/>
      <c r="D123" s="1192"/>
      <c r="E123" s="1192"/>
      <c r="F123" s="1192"/>
      <c r="G123" s="1192"/>
      <c r="H123" s="1192"/>
      <c r="I123" s="1192"/>
      <c r="J123" s="1192"/>
      <c r="K123" s="1192"/>
      <c r="L123" s="1192"/>
      <c r="M123" s="1192"/>
      <c r="N123" s="1192"/>
      <c r="O123" s="1192"/>
    </row>
    <row r="124" spans="1:15">
      <c r="A124" s="1192"/>
      <c r="B124" s="1192"/>
      <c r="C124" s="1192"/>
      <c r="D124" s="1192"/>
      <c r="E124" s="1192"/>
      <c r="F124" s="1192"/>
      <c r="G124" s="1192"/>
      <c r="H124" s="1192"/>
      <c r="I124" s="1192"/>
      <c r="J124" s="1192"/>
      <c r="K124" s="1192"/>
      <c r="L124" s="1192"/>
      <c r="M124" s="1192"/>
      <c r="N124" s="1192"/>
      <c r="O124" s="1192"/>
    </row>
  </sheetData>
  <mergeCells count="15">
    <mergeCell ref="A6:A7"/>
    <mergeCell ref="B6:B7"/>
    <mergeCell ref="A14:A15"/>
    <mergeCell ref="B14:B15"/>
    <mergeCell ref="A8:A9"/>
    <mergeCell ref="B8:B9"/>
    <mergeCell ref="A10:A11"/>
    <mergeCell ref="B10:B11"/>
    <mergeCell ref="A12:A13"/>
    <mergeCell ref="B12:B13"/>
    <mergeCell ref="A1:L1"/>
    <mergeCell ref="A2:A3"/>
    <mergeCell ref="B2:B3"/>
    <mergeCell ref="A4:A5"/>
    <mergeCell ref="B4:B5"/>
  </mergeCells>
  <pageMargins left="0.7" right="0.7" top="0.75" bottom="0.75" header="0.3" footer="0.3"/>
  <pageSetup paperSize="9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>
      <selection activeCell="E19" sqref="E19"/>
    </sheetView>
  </sheetViews>
  <sheetFormatPr defaultRowHeight="15" customHeight="1"/>
  <cols>
    <col min="1" max="1" width="9.140625" style="2"/>
    <col min="2" max="2" width="13.42578125" style="2" customWidth="1"/>
    <col min="3" max="3" width="18.42578125" style="2" customWidth="1"/>
    <col min="4" max="4" width="16.28515625" style="2" customWidth="1"/>
    <col min="5" max="5" width="19.28515625" style="2" customWidth="1"/>
    <col min="6" max="7" width="14.140625" style="2" customWidth="1"/>
    <col min="8" max="8" width="16.42578125" style="2" customWidth="1"/>
    <col min="9" max="16384" width="9.140625" style="2"/>
  </cols>
  <sheetData>
    <row r="1" spans="1:8" ht="15" customHeight="1">
      <c r="F1" s="2487" t="s">
        <v>403</v>
      </c>
      <c r="G1" s="2487"/>
    </row>
    <row r="2" spans="1:8" s="8" customFormat="1" ht="15.75">
      <c r="A2" s="2435" t="s">
        <v>297</v>
      </c>
      <c r="B2" s="2435"/>
      <c r="C2" s="2435"/>
      <c r="D2" s="2435"/>
      <c r="E2" s="2435"/>
      <c r="F2" s="2435"/>
      <c r="G2" s="2435"/>
      <c r="H2" s="2435"/>
    </row>
    <row r="3" spans="1:8" s="8" customFormat="1" ht="15.75">
      <c r="A3" s="2435" t="s">
        <v>298</v>
      </c>
      <c r="B3" s="2435"/>
      <c r="C3" s="2435"/>
      <c r="D3" s="2435"/>
      <c r="E3" s="2435"/>
      <c r="F3" s="2435"/>
      <c r="G3" s="2435"/>
      <c r="H3" s="2435"/>
    </row>
    <row r="4" spans="1:8" s="8" customFormat="1" ht="15.75">
      <c r="A4" s="2435" t="s">
        <v>95</v>
      </c>
      <c r="B4" s="2435"/>
      <c r="C4" s="2435"/>
      <c r="D4" s="2435"/>
      <c r="E4" s="2435"/>
      <c r="F4" s="2435"/>
      <c r="G4" s="2435"/>
      <c r="H4" s="2435"/>
    </row>
    <row r="5" spans="1:8" s="8" customFormat="1" ht="16.5" thickBot="1">
      <c r="A5" s="4"/>
      <c r="B5" s="4"/>
      <c r="C5" s="4"/>
      <c r="D5" s="4"/>
      <c r="E5" s="4"/>
      <c r="F5" s="4"/>
      <c r="G5" s="4"/>
      <c r="H5" s="4" t="s">
        <v>94</v>
      </c>
    </row>
    <row r="6" spans="1:8" s="4" customFormat="1" ht="47.25">
      <c r="A6" s="23" t="s">
        <v>295</v>
      </c>
      <c r="B6" s="29" t="s">
        <v>301</v>
      </c>
      <c r="C6" s="29" t="s">
        <v>304</v>
      </c>
      <c r="D6" s="29" t="s">
        <v>305</v>
      </c>
      <c r="E6" s="29" t="s">
        <v>306</v>
      </c>
      <c r="F6" s="29" t="s">
        <v>332</v>
      </c>
      <c r="G6" s="29" t="s">
        <v>307</v>
      </c>
      <c r="H6" s="30" t="s">
        <v>333</v>
      </c>
    </row>
    <row r="7" spans="1:8" s="4" customFormat="1" ht="15.75">
      <c r="A7" s="24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31">
        <v>8</v>
      </c>
    </row>
    <row r="8" spans="1:8" ht="33.75" customHeight="1">
      <c r="A8" s="25">
        <v>1</v>
      </c>
      <c r="B8" s="5" t="s">
        <v>398</v>
      </c>
      <c r="C8" s="5">
        <v>2040.46</v>
      </c>
      <c r="D8" s="212" t="e">
        <f>'F9'!#REF!</f>
        <v>#REF!</v>
      </c>
      <c r="E8" s="212" t="e">
        <f>'F9'!#REF!</f>
        <v>#REF!</v>
      </c>
      <c r="F8" s="212" t="e">
        <f>'F9'!#REF!</f>
        <v>#REF!</v>
      </c>
      <c r="G8" s="212" t="e">
        <f>'F9'!#REF!</f>
        <v>#REF!</v>
      </c>
      <c r="H8" s="208" t="e">
        <f>'F9'!#REF!</f>
        <v>#REF!</v>
      </c>
    </row>
    <row r="9" spans="1:8" ht="33.75" customHeight="1" thickBot="1">
      <c r="A9" s="27"/>
      <c r="B9" s="28" t="s">
        <v>287</v>
      </c>
      <c r="C9" s="84">
        <f t="shared" ref="C9:H9" si="0">C8</f>
        <v>2040.46</v>
      </c>
      <c r="D9" s="84" t="e">
        <f t="shared" si="0"/>
        <v>#REF!</v>
      </c>
      <c r="E9" s="84" t="e">
        <f t="shared" si="0"/>
        <v>#REF!</v>
      </c>
      <c r="F9" s="84" t="e">
        <f t="shared" si="0"/>
        <v>#REF!</v>
      </c>
      <c r="G9" s="84" t="e">
        <f t="shared" si="0"/>
        <v>#REF!</v>
      </c>
      <c r="H9" s="84" t="e">
        <f t="shared" si="0"/>
        <v>#REF!</v>
      </c>
    </row>
  </sheetData>
  <mergeCells count="4">
    <mergeCell ref="F1:G1"/>
    <mergeCell ref="A2:H2"/>
    <mergeCell ref="A3:H3"/>
    <mergeCell ref="A4:H4"/>
  </mergeCells>
  <phoneticPr fontId="0" type="noConversion"/>
  <printOptions horizontalCentered="1"/>
  <pageMargins left="0" right="0" top="0.5" bottom="0.5" header="0.3" footer="0.3"/>
  <pageSetup paperSize="9" orientation="landscape" r:id="rId1"/>
  <headerFooter alignWithMargins="0">
    <oddHeader>&amp;R&amp;F</oddHeader>
    <oddFooter>&amp;L&amp;P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B1:AI76"/>
  <sheetViews>
    <sheetView topLeftCell="J1" workbookViewId="0">
      <selection activeCell="R19" sqref="R19"/>
    </sheetView>
  </sheetViews>
  <sheetFormatPr defaultRowHeight="15"/>
  <cols>
    <col min="1" max="2" width="9.140625" style="1303"/>
    <col min="3" max="3" width="19.85546875" style="1303" customWidth="1"/>
    <col min="4" max="4" width="12.28515625" style="1303" customWidth="1"/>
    <col min="5" max="5" width="11" style="1303" customWidth="1"/>
    <col min="6" max="6" width="14.140625" style="1303" customWidth="1"/>
    <col min="7" max="7" width="12" style="1303" customWidth="1"/>
    <col min="8" max="8" width="14" style="1303" customWidth="1"/>
    <col min="9" max="9" width="15.28515625" style="1303" customWidth="1"/>
    <col min="10" max="10" width="12.7109375" style="1303" customWidth="1"/>
    <col min="11" max="11" width="9.140625" style="1303"/>
    <col min="12" max="12" width="52.5703125" style="1303" bestFit="1" customWidth="1"/>
    <col min="13" max="13" width="0" style="1303" hidden="1" customWidth="1"/>
    <col min="14" max="16" width="9.140625" style="1303"/>
    <col min="17" max="17" width="26.7109375" style="1303" bestFit="1" customWidth="1"/>
    <col min="18" max="18" width="14.7109375" style="1303" bestFit="1" customWidth="1"/>
    <col min="19" max="19" width="11.85546875" style="1303" bestFit="1" customWidth="1"/>
    <col min="20" max="20" width="11" style="1303" bestFit="1" customWidth="1"/>
    <col min="21" max="16384" width="9.140625" style="1303"/>
  </cols>
  <sheetData>
    <row r="1" spans="3:35" ht="15.75" thickBot="1">
      <c r="Q1" s="1303" t="s">
        <v>2562</v>
      </c>
    </row>
    <row r="2" spans="3:35">
      <c r="Q2" s="1428" t="s">
        <v>331</v>
      </c>
      <c r="R2" s="1428"/>
      <c r="S2" s="1428" t="s">
        <v>1751</v>
      </c>
      <c r="T2" s="1428" t="s">
        <v>1752</v>
      </c>
      <c r="W2" s="1482">
        <v>41000</v>
      </c>
      <c r="X2" s="1482">
        <v>41030</v>
      </c>
      <c r="Y2" s="1482">
        <v>41061</v>
      </c>
      <c r="Z2" s="1482">
        <v>41091</v>
      </c>
      <c r="AA2" s="1482">
        <v>41122</v>
      </c>
      <c r="AB2" s="1482">
        <v>41153</v>
      </c>
      <c r="AC2" s="1482">
        <v>41183</v>
      </c>
      <c r="AD2" s="1482">
        <v>41214</v>
      </c>
      <c r="AE2" s="1482">
        <v>41244</v>
      </c>
      <c r="AF2" s="1482">
        <v>41275</v>
      </c>
      <c r="AG2" s="1482">
        <v>41306</v>
      </c>
      <c r="AH2" s="1482">
        <v>41334</v>
      </c>
    </row>
    <row r="3" spans="3:35">
      <c r="C3" s="1303" t="s">
        <v>1940</v>
      </c>
      <c r="Q3" s="972" t="str">
        <f>L14</f>
        <v>No of Bays-PSTCL</v>
      </c>
      <c r="R3" s="972" t="s">
        <v>2557</v>
      </c>
      <c r="S3" s="1423">
        <f>N15</f>
        <v>2</v>
      </c>
      <c r="T3" s="1423">
        <f>O15</f>
        <v>26</v>
      </c>
    </row>
    <row r="4" spans="3:35">
      <c r="Q4" s="972" t="str">
        <f>L28</f>
        <v>Double Ckt (Twin Conductor)</v>
      </c>
      <c r="R4" s="972" t="s">
        <v>2558</v>
      </c>
      <c r="S4" s="1423">
        <f>N32</f>
        <v>216</v>
      </c>
      <c r="T4" s="1423">
        <f>O32</f>
        <v>1600</v>
      </c>
      <c r="W4" s="1425">
        <f>S4</f>
        <v>216</v>
      </c>
      <c r="X4" s="1425">
        <v>0</v>
      </c>
      <c r="Y4" s="1425">
        <f>(1028-$W$4)/7</f>
        <v>116</v>
      </c>
      <c r="Z4" s="1425">
        <f t="shared" ref="Z4:AE4" si="0">(1028-$W$4)/7</f>
        <v>116</v>
      </c>
      <c r="AA4" s="1425">
        <f t="shared" si="0"/>
        <v>116</v>
      </c>
      <c r="AB4" s="1425">
        <f t="shared" si="0"/>
        <v>116</v>
      </c>
      <c r="AC4" s="1425">
        <f t="shared" si="0"/>
        <v>116</v>
      </c>
      <c r="AD4" s="1425">
        <f t="shared" si="0"/>
        <v>116</v>
      </c>
      <c r="AE4" s="1425">
        <f t="shared" si="0"/>
        <v>116</v>
      </c>
    </row>
    <row r="5" spans="3:35">
      <c r="V5" s="1303" t="s">
        <v>2440</v>
      </c>
      <c r="W5" s="1425">
        <f>W4</f>
        <v>216</v>
      </c>
      <c r="X5" s="1425">
        <f>W4+X4</f>
        <v>216</v>
      </c>
      <c r="Y5" s="1425">
        <f>Y4+X5</f>
        <v>332</v>
      </c>
      <c r="Z5" s="1425">
        <f t="shared" ref="Z5:AF5" si="1">Z4+Y5</f>
        <v>448</v>
      </c>
      <c r="AA5" s="1425">
        <f t="shared" si="1"/>
        <v>564</v>
      </c>
      <c r="AB5" s="1425">
        <f t="shared" si="1"/>
        <v>680</v>
      </c>
      <c r="AC5" s="1425">
        <f t="shared" si="1"/>
        <v>796</v>
      </c>
      <c r="AD5" s="1425">
        <f t="shared" si="1"/>
        <v>912</v>
      </c>
      <c r="AE5" s="1425">
        <f t="shared" si="1"/>
        <v>1028</v>
      </c>
      <c r="AF5" s="1425">
        <f t="shared" si="1"/>
        <v>1028</v>
      </c>
      <c r="AG5" s="1425">
        <f>AF5</f>
        <v>1028</v>
      </c>
      <c r="AH5" s="1425">
        <f>AG5</f>
        <v>1028</v>
      </c>
    </row>
    <row r="6" spans="3:35" ht="15.75" thickBot="1">
      <c r="Q6" s="1424" t="s">
        <v>1958</v>
      </c>
      <c r="V6" s="1303" t="s">
        <v>2156</v>
      </c>
      <c r="AH6" s="1303">
        <f>572</f>
        <v>572</v>
      </c>
    </row>
    <row r="7" spans="3:35">
      <c r="Q7" s="1427" t="s">
        <v>331</v>
      </c>
      <c r="R7" s="1428" t="s">
        <v>2561</v>
      </c>
      <c r="S7" s="1428" t="s">
        <v>2512</v>
      </c>
      <c r="T7" s="1429" t="s">
        <v>2513</v>
      </c>
      <c r="V7" s="1303" t="s">
        <v>287</v>
      </c>
      <c r="W7" s="1425">
        <f>W5+W6</f>
        <v>216</v>
      </c>
      <c r="X7" s="1425">
        <f t="shared" ref="X7:AG7" si="2">X5+X6</f>
        <v>216</v>
      </c>
      <c r="Y7" s="1425">
        <f t="shared" si="2"/>
        <v>332</v>
      </c>
      <c r="Z7" s="1425">
        <f t="shared" si="2"/>
        <v>448</v>
      </c>
      <c r="AA7" s="1425">
        <f t="shared" si="2"/>
        <v>564</v>
      </c>
      <c r="AB7" s="1425">
        <f t="shared" si="2"/>
        <v>680</v>
      </c>
      <c r="AC7" s="1425">
        <f t="shared" si="2"/>
        <v>796</v>
      </c>
      <c r="AD7" s="1425">
        <f t="shared" si="2"/>
        <v>912</v>
      </c>
      <c r="AE7" s="1425">
        <f t="shared" si="2"/>
        <v>1028</v>
      </c>
      <c r="AF7" s="1425">
        <f t="shared" si="2"/>
        <v>1028</v>
      </c>
      <c r="AG7" s="1425">
        <f t="shared" si="2"/>
        <v>1028</v>
      </c>
      <c r="AH7" s="1425">
        <f>AH5+AH6</f>
        <v>1600</v>
      </c>
    </row>
    <row r="8" spans="3:35" ht="15.75" thickBot="1">
      <c r="M8" s="1426"/>
      <c r="N8" s="1426"/>
      <c r="O8" s="1426"/>
      <c r="Q8" s="1430" t="s">
        <v>2514</v>
      </c>
      <c r="R8" s="1422" t="s">
        <v>2559</v>
      </c>
      <c r="S8" s="1422">
        <v>58.57</v>
      </c>
      <c r="T8" s="1431">
        <v>61.92</v>
      </c>
      <c r="W8" s="1483">
        <f>W7*$T$9/100/12</f>
        <v>0.13338000000000003</v>
      </c>
      <c r="X8" s="1483">
        <f t="shared" ref="X8:AH8" si="3">X7*$T$9/100/12</f>
        <v>0.13338000000000003</v>
      </c>
      <c r="Y8" s="1483">
        <f t="shared" si="3"/>
        <v>0.20501</v>
      </c>
      <c r="Z8" s="1483">
        <f t="shared" si="3"/>
        <v>0.27664</v>
      </c>
      <c r="AA8" s="1483">
        <f t="shared" si="3"/>
        <v>0.34827000000000002</v>
      </c>
      <c r="AB8" s="1483">
        <f t="shared" si="3"/>
        <v>0.4199</v>
      </c>
      <c r="AC8" s="1483">
        <f t="shared" si="3"/>
        <v>0.49153000000000002</v>
      </c>
      <c r="AD8" s="1483">
        <f t="shared" si="3"/>
        <v>0.56315999999999999</v>
      </c>
      <c r="AE8" s="1483">
        <f t="shared" si="3"/>
        <v>0.63479000000000008</v>
      </c>
      <c r="AF8" s="1483">
        <f t="shared" si="3"/>
        <v>0.63479000000000008</v>
      </c>
      <c r="AG8" s="1483">
        <f t="shared" si="3"/>
        <v>0.63479000000000008</v>
      </c>
      <c r="AH8" s="1483">
        <f t="shared" si="3"/>
        <v>0.98799999999999999</v>
      </c>
      <c r="AI8" s="1483">
        <f>SUM(W8:AH8)</f>
        <v>5.4636399999999998</v>
      </c>
    </row>
    <row r="9" spans="3:35" ht="15.75" thickBot="1">
      <c r="L9" s="1427" t="s">
        <v>2524</v>
      </c>
      <c r="M9" s="1428" t="s">
        <v>2511</v>
      </c>
      <c r="N9" s="1428" t="s">
        <v>2512</v>
      </c>
      <c r="O9" s="1429" t="s">
        <v>2513</v>
      </c>
      <c r="Q9" s="1487" t="s">
        <v>2519</v>
      </c>
      <c r="R9" s="1488" t="s">
        <v>2560</v>
      </c>
      <c r="S9" s="1488">
        <v>0.70099999999999996</v>
      </c>
      <c r="T9" s="1489">
        <v>0.74099999999999999</v>
      </c>
    </row>
    <row r="10" spans="3:35">
      <c r="L10" s="1430" t="s">
        <v>2514</v>
      </c>
      <c r="M10" s="1422">
        <v>55.4</v>
      </c>
      <c r="N10" s="1422">
        <v>58.57</v>
      </c>
      <c r="O10" s="1431">
        <v>61.92</v>
      </c>
      <c r="Q10" s="1484"/>
      <c r="R10" s="1485"/>
      <c r="S10" s="1485"/>
      <c r="T10" s="1486"/>
      <c r="W10" s="1425">
        <f>S3</f>
        <v>2</v>
      </c>
      <c r="X10" s="1425">
        <v>0</v>
      </c>
      <c r="Y10" s="1425">
        <f>(26-$W$10)/7</f>
        <v>3.4285714285714284</v>
      </c>
      <c r="Z10" s="1425">
        <f t="shared" ref="Z10:AE10" si="4">(26-$W$10)/7</f>
        <v>3.4285714285714284</v>
      </c>
      <c r="AA10" s="1425">
        <f t="shared" si="4"/>
        <v>3.4285714285714284</v>
      </c>
      <c r="AB10" s="1425">
        <f t="shared" si="4"/>
        <v>3.4285714285714284</v>
      </c>
      <c r="AC10" s="1425">
        <f t="shared" si="4"/>
        <v>3.4285714285714284</v>
      </c>
      <c r="AD10" s="1425">
        <f t="shared" si="4"/>
        <v>3.4285714285714284</v>
      </c>
      <c r="AE10" s="1425">
        <f t="shared" si="4"/>
        <v>3.4285714285714284</v>
      </c>
    </row>
    <row r="11" spans="3:35">
      <c r="L11" s="1430" t="s">
        <v>2515</v>
      </c>
      <c r="M11" s="1422">
        <v>38.78</v>
      </c>
      <c r="N11" s="1422">
        <v>41</v>
      </c>
      <c r="O11" s="1431">
        <v>43.34</v>
      </c>
      <c r="W11" s="1425">
        <f>W10</f>
        <v>2</v>
      </c>
      <c r="X11" s="1425">
        <f>W10+X10</f>
        <v>2</v>
      </c>
      <c r="Y11" s="1425">
        <f t="shared" ref="Y11:AF11" si="5">Y10+X11</f>
        <v>5.4285714285714288</v>
      </c>
      <c r="Z11" s="1425">
        <f t="shared" si="5"/>
        <v>8.8571428571428577</v>
      </c>
      <c r="AA11" s="1425">
        <f t="shared" si="5"/>
        <v>12.285714285714286</v>
      </c>
      <c r="AB11" s="1425">
        <f t="shared" si="5"/>
        <v>15.714285714285715</v>
      </c>
      <c r="AC11" s="1425">
        <f t="shared" si="5"/>
        <v>19.142857142857142</v>
      </c>
      <c r="AD11" s="1425">
        <f t="shared" si="5"/>
        <v>22.571428571428569</v>
      </c>
      <c r="AE11" s="1425">
        <f t="shared" si="5"/>
        <v>25.999999999999996</v>
      </c>
      <c r="AF11" s="1425">
        <f t="shared" si="5"/>
        <v>25.999999999999996</v>
      </c>
      <c r="AG11" s="1425">
        <f>AF11</f>
        <v>25.999999999999996</v>
      </c>
      <c r="AH11" s="1425">
        <f>AG11</f>
        <v>25.999999999999996</v>
      </c>
    </row>
    <row r="12" spans="3:35">
      <c r="L12" s="1430" t="s">
        <v>2516</v>
      </c>
      <c r="M12" s="1422">
        <v>27.7</v>
      </c>
      <c r="N12" s="1422">
        <v>29.28</v>
      </c>
      <c r="O12" s="1431">
        <v>30.96</v>
      </c>
      <c r="Q12" s="1424" t="s">
        <v>2564</v>
      </c>
    </row>
    <row r="13" spans="3:35">
      <c r="L13" s="1430"/>
      <c r="M13" s="972"/>
      <c r="N13" s="972"/>
      <c r="O13" s="1432"/>
      <c r="Q13" s="970" t="s">
        <v>331</v>
      </c>
      <c r="R13" s="970" t="s">
        <v>2561</v>
      </c>
      <c r="S13" s="970" t="s">
        <v>2512</v>
      </c>
      <c r="T13" s="970" t="s">
        <v>2513</v>
      </c>
      <c r="U13" s="970" t="s">
        <v>287</v>
      </c>
      <c r="W13" s="1425">
        <f t="shared" ref="W13:AH13" si="6">W11+W12</f>
        <v>2</v>
      </c>
      <c r="X13" s="1425">
        <f t="shared" si="6"/>
        <v>2</v>
      </c>
      <c r="Y13" s="1425">
        <f t="shared" si="6"/>
        <v>5.4285714285714288</v>
      </c>
      <c r="Z13" s="1425">
        <f t="shared" si="6"/>
        <v>8.8571428571428577</v>
      </c>
      <c r="AA13" s="1425">
        <f t="shared" si="6"/>
        <v>12.285714285714286</v>
      </c>
      <c r="AB13" s="1425">
        <f t="shared" si="6"/>
        <v>15.714285714285715</v>
      </c>
      <c r="AC13" s="1425">
        <f t="shared" si="6"/>
        <v>19.142857142857142</v>
      </c>
      <c r="AD13" s="1425">
        <f t="shared" si="6"/>
        <v>22.571428571428569</v>
      </c>
      <c r="AE13" s="1425">
        <f t="shared" si="6"/>
        <v>25.999999999999996</v>
      </c>
      <c r="AF13" s="1425">
        <f t="shared" si="6"/>
        <v>25.999999999999996</v>
      </c>
      <c r="AG13" s="1425">
        <f t="shared" si="6"/>
        <v>25.999999999999996</v>
      </c>
      <c r="AH13" s="1425">
        <f t="shared" si="6"/>
        <v>25.999999999999996</v>
      </c>
    </row>
    <row r="14" spans="3:35">
      <c r="L14" s="1433" t="s">
        <v>2525</v>
      </c>
      <c r="M14" s="970" t="s">
        <v>2511</v>
      </c>
      <c r="N14" s="970" t="s">
        <v>2512</v>
      </c>
      <c r="O14" s="1434" t="s">
        <v>2513</v>
      </c>
      <c r="Q14" s="972" t="s">
        <v>2563</v>
      </c>
      <c r="R14" s="1422" t="s">
        <v>2555</v>
      </c>
      <c r="S14" s="973">
        <f>S3*S8/(6*100)</f>
        <v>0.19523333333333334</v>
      </c>
      <c r="T14" s="973">
        <f>AI14</f>
        <v>9.9071999999999996</v>
      </c>
      <c r="U14" s="973">
        <f>T14+S14</f>
        <v>10.102433333333332</v>
      </c>
      <c r="W14" s="1483">
        <f>W13*$T$8/100/12</f>
        <v>0.1032</v>
      </c>
      <c r="X14" s="1483">
        <f t="shared" ref="X14:AH14" si="7">X13*$T$8/100/12</f>
        <v>0.1032</v>
      </c>
      <c r="Y14" s="1483">
        <f t="shared" si="7"/>
        <v>0.2801142857142857</v>
      </c>
      <c r="Z14" s="1483">
        <f t="shared" si="7"/>
        <v>0.45702857142857151</v>
      </c>
      <c r="AA14" s="1483">
        <f t="shared" si="7"/>
        <v>0.63394285714285725</v>
      </c>
      <c r="AB14" s="1483">
        <f t="shared" si="7"/>
        <v>0.81085714285714294</v>
      </c>
      <c r="AC14" s="1483">
        <f t="shared" si="7"/>
        <v>0.98777142857142852</v>
      </c>
      <c r="AD14" s="1483">
        <f t="shared" si="7"/>
        <v>1.1646857142857143</v>
      </c>
      <c r="AE14" s="1483">
        <f t="shared" si="7"/>
        <v>1.3415999999999999</v>
      </c>
      <c r="AF14" s="1483">
        <f t="shared" si="7"/>
        <v>1.3415999999999999</v>
      </c>
      <c r="AG14" s="1483">
        <f t="shared" si="7"/>
        <v>1.3415999999999999</v>
      </c>
      <c r="AH14" s="1483">
        <f t="shared" si="7"/>
        <v>1.3415999999999999</v>
      </c>
      <c r="AI14" s="1483">
        <f>SUM(W14:AH14)</f>
        <v>9.9071999999999996</v>
      </c>
    </row>
    <row r="15" spans="3:35">
      <c r="L15" s="1430" t="s">
        <v>2514</v>
      </c>
      <c r="M15" s="1423">
        <v>0</v>
      </c>
      <c r="N15" s="1423">
        <v>2</v>
      </c>
      <c r="O15" s="1435">
        <f>24+N15</f>
        <v>26</v>
      </c>
      <c r="Q15" s="972" t="s">
        <v>2519</v>
      </c>
      <c r="R15" s="1422" t="s">
        <v>2555</v>
      </c>
      <c r="S15" s="973">
        <f>S4*S9*2/(100*12)</f>
        <v>0.25235999999999997</v>
      </c>
      <c r="T15" s="973">
        <f>AI8</f>
        <v>5.4636399999999998</v>
      </c>
      <c r="U15" s="973">
        <f>T15+S15</f>
        <v>5.7160000000000002</v>
      </c>
    </row>
    <row r="16" spans="3:35">
      <c r="L16" s="1430" t="s">
        <v>2515</v>
      </c>
      <c r="M16" s="1423" t="e">
        <f>E48</f>
        <v>#REF!</v>
      </c>
      <c r="N16" s="1423">
        <v>422</v>
      </c>
      <c r="O16" s="1435" t="e">
        <f>G48</f>
        <v>#REF!</v>
      </c>
      <c r="Q16" s="975" t="s">
        <v>287</v>
      </c>
      <c r="R16" s="975" t="s">
        <v>2555</v>
      </c>
      <c r="S16" s="976">
        <f>SUM(S14:S15)</f>
        <v>0.44759333333333329</v>
      </c>
      <c r="T16" s="976">
        <f>SUM(T14:T15)</f>
        <v>15.370839999999999</v>
      </c>
      <c r="U16" s="976">
        <f>SUM(U14:U15)</f>
        <v>15.818433333333331</v>
      </c>
    </row>
    <row r="17" spans="12:19">
      <c r="L17" s="1430" t="s">
        <v>2516</v>
      </c>
      <c r="M17" s="1423" t="e">
        <f>E54</f>
        <v>#REF!</v>
      </c>
      <c r="N17" s="1423">
        <v>660</v>
      </c>
      <c r="O17" s="1435">
        <f>N17</f>
        <v>660</v>
      </c>
    </row>
    <row r="18" spans="12:19">
      <c r="L18" s="1430" t="s">
        <v>2556</v>
      </c>
      <c r="M18" s="1423"/>
      <c r="N18" s="1423">
        <v>1125</v>
      </c>
      <c r="O18" s="1435">
        <f>N18</f>
        <v>1125</v>
      </c>
    </row>
    <row r="19" spans="12:19">
      <c r="L19" s="1433" t="s">
        <v>2520</v>
      </c>
      <c r="M19" s="970" t="s">
        <v>2511</v>
      </c>
      <c r="N19" s="970" t="s">
        <v>2512</v>
      </c>
      <c r="O19" s="1434" t="s">
        <v>2513</v>
      </c>
    </row>
    <row r="20" spans="12:19">
      <c r="L20" s="1430" t="s">
        <v>2514</v>
      </c>
      <c r="M20" s="973">
        <f t="shared" ref="M20:O22" si="8">M15*M10/100</f>
        <v>0</v>
      </c>
      <c r="N20" s="973">
        <f>S14</f>
        <v>0.19523333333333334</v>
      </c>
      <c r="O20" s="973">
        <f>T14</f>
        <v>9.9071999999999996</v>
      </c>
      <c r="R20" s="1303">
        <v>138</v>
      </c>
    </row>
    <row r="21" spans="12:19">
      <c r="L21" s="1430" t="s">
        <v>2515</v>
      </c>
      <c r="M21" s="973" t="e">
        <f t="shared" si="8"/>
        <v>#REF!</v>
      </c>
      <c r="N21" s="973">
        <f t="shared" si="8"/>
        <v>173.02</v>
      </c>
      <c r="O21" s="1436" t="e">
        <f t="shared" si="8"/>
        <v>#REF!</v>
      </c>
      <c r="R21" s="1303">
        <v>11</v>
      </c>
    </row>
    <row r="22" spans="12:19">
      <c r="L22" s="1430" t="s">
        <v>2516</v>
      </c>
      <c r="M22" s="973" t="e">
        <f t="shared" si="8"/>
        <v>#REF!</v>
      </c>
      <c r="N22" s="973">
        <f t="shared" si="8"/>
        <v>193.24799999999999</v>
      </c>
      <c r="O22" s="1436">
        <f t="shared" si="8"/>
        <v>204.33600000000001</v>
      </c>
      <c r="R22" s="1303">
        <v>84</v>
      </c>
    </row>
    <row r="23" spans="12:19" ht="15.75" thickBot="1">
      <c r="L23" s="1437" t="s">
        <v>287</v>
      </c>
      <c r="M23" s="1438" t="e">
        <f>SUM(M20:M22)</f>
        <v>#REF!</v>
      </c>
      <c r="N23" s="1438">
        <f>SUM(N20:N22)</f>
        <v>366.46323333333333</v>
      </c>
      <c r="O23" s="1439" t="e">
        <f>SUM(O20:O22)</f>
        <v>#REF!</v>
      </c>
      <c r="R23" s="1303">
        <f>SUM(R20:R22)</f>
        <v>233</v>
      </c>
      <c r="S23" s="1303">
        <f>R23*2</f>
        <v>466</v>
      </c>
    </row>
    <row r="24" spans="12:19" ht="15.75" thickBot="1"/>
    <row r="25" spans="12:19">
      <c r="L25" s="1427" t="s">
        <v>2526</v>
      </c>
      <c r="M25" s="1428" t="s">
        <v>2511</v>
      </c>
      <c r="N25" s="1428" t="s">
        <v>2512</v>
      </c>
      <c r="O25" s="1429" t="s">
        <v>2513</v>
      </c>
      <c r="P25" s="1424"/>
    </row>
    <row r="26" spans="12:19">
      <c r="L26" s="1430" t="s">
        <v>2517</v>
      </c>
      <c r="M26" s="1422">
        <v>0.189</v>
      </c>
      <c r="N26" s="1422">
        <v>0.2</v>
      </c>
      <c r="O26" s="1431">
        <v>0.21199999999999999</v>
      </c>
    </row>
    <row r="27" spans="12:19">
      <c r="L27" s="1430" t="s">
        <v>2518</v>
      </c>
      <c r="M27" s="1422">
        <v>0.28399999999999997</v>
      </c>
      <c r="N27" s="1422">
        <v>0.30099999999999999</v>
      </c>
      <c r="O27" s="1431">
        <v>0.318</v>
      </c>
    </row>
    <row r="28" spans="12:19">
      <c r="L28" s="1430" t="s">
        <v>2519</v>
      </c>
      <c r="M28" s="1422">
        <v>0.66300000000000003</v>
      </c>
      <c r="N28" s="1422">
        <v>0.70099999999999996</v>
      </c>
      <c r="O28" s="1431">
        <v>0.74099999999999999</v>
      </c>
    </row>
    <row r="29" spans="12:19">
      <c r="L29" s="1433" t="s">
        <v>2527</v>
      </c>
      <c r="M29" s="970" t="s">
        <v>2511</v>
      </c>
      <c r="N29" s="970" t="s">
        <v>2512</v>
      </c>
      <c r="O29" s="1434" t="s">
        <v>2513</v>
      </c>
    </row>
    <row r="30" spans="12:19">
      <c r="L30" s="1430" t="s">
        <v>2517</v>
      </c>
      <c r="M30" s="1423">
        <f t="shared" ref="M30:O32" si="9">(Q33+R33)/2</f>
        <v>3878.1925000000001</v>
      </c>
      <c r="N30" s="1423">
        <f t="shared" si="9"/>
        <v>4170.6435000000001</v>
      </c>
      <c r="O30" s="1435">
        <f t="shared" si="9"/>
        <v>4311.7730000000001</v>
      </c>
    </row>
    <row r="31" spans="12:19">
      <c r="L31" s="1430" t="s">
        <v>2518</v>
      </c>
      <c r="M31" s="1423">
        <f t="shared" si="9"/>
        <v>3770.0875000000001</v>
      </c>
      <c r="N31" s="1423">
        <f t="shared" si="9"/>
        <v>4032.1275000000001</v>
      </c>
      <c r="O31" s="1435">
        <f t="shared" si="9"/>
        <v>4838.2275</v>
      </c>
    </row>
    <row r="32" spans="12:19">
      <c r="L32" s="1430" t="s">
        <v>2519</v>
      </c>
      <c r="M32" s="1423">
        <f t="shared" si="9"/>
        <v>0</v>
      </c>
      <c r="N32" s="1423">
        <f>108*2</f>
        <v>216</v>
      </c>
      <c r="O32" s="1435">
        <f>1028+572</f>
        <v>1600</v>
      </c>
    </row>
    <row r="33" spans="2:20">
      <c r="L33" s="1433" t="s">
        <v>2523</v>
      </c>
      <c r="M33" s="970" t="s">
        <v>2511</v>
      </c>
      <c r="N33" s="970" t="s">
        <v>2512</v>
      </c>
      <c r="O33" s="1434" t="s">
        <v>2513</v>
      </c>
      <c r="Q33" s="1425">
        <f>'19.11.2011 data Trns.ines'!D6</f>
        <v>3706.1419999999998</v>
      </c>
      <c r="R33" s="1425">
        <f>'19.11.2011 data Trns.ines'!F6</f>
        <v>4050.2430000000004</v>
      </c>
      <c r="S33" s="1425">
        <f>'19.11.2011 data Trns.ines'!J6</f>
        <v>4291.0439999999999</v>
      </c>
      <c r="T33" s="1425">
        <f>'19.11.2011 data Trns.ines'!L6</f>
        <v>4332.5020000000004</v>
      </c>
    </row>
    <row r="34" spans="2:20">
      <c r="L34" s="1430" t="s">
        <v>2517</v>
      </c>
      <c r="M34" s="973">
        <f t="shared" ref="M34:O36" si="10">M26*M30/100</f>
        <v>7.3297838250000007</v>
      </c>
      <c r="N34" s="973">
        <f t="shared" si="10"/>
        <v>8.3412870000000012</v>
      </c>
      <c r="O34" s="1436">
        <f t="shared" si="10"/>
        <v>9.1409587600000002</v>
      </c>
      <c r="Q34" s="1425">
        <f>'19.11.2011 data Trns.ines'!D9</f>
        <v>3716.0640000000003</v>
      </c>
      <c r="R34" s="1425">
        <f>'19.11.2011 data Trns.ines'!F9</f>
        <v>3824.1109999999999</v>
      </c>
      <c r="S34" s="1425">
        <f>'19.11.2011 data Trns.ines'!J9</f>
        <v>4240.1440000000002</v>
      </c>
      <c r="T34" s="1425">
        <f>'19.11.2011 data Trns.ines'!L9</f>
        <v>5436.3109999999997</v>
      </c>
    </row>
    <row r="35" spans="2:20">
      <c r="L35" s="1430" t="s">
        <v>2518</v>
      </c>
      <c r="M35" s="973">
        <f t="shared" si="10"/>
        <v>10.707048499999999</v>
      </c>
      <c r="N35" s="973">
        <f t="shared" si="10"/>
        <v>12.136703775000001</v>
      </c>
      <c r="O35" s="1436">
        <f t="shared" si="10"/>
        <v>15.385563449999999</v>
      </c>
    </row>
    <row r="36" spans="2:20">
      <c r="L36" s="1430" t="s">
        <v>2519</v>
      </c>
      <c r="M36" s="973">
        <f t="shared" si="10"/>
        <v>0</v>
      </c>
      <c r="N36" s="973">
        <f>S15</f>
        <v>0.25235999999999997</v>
      </c>
      <c r="O36" s="973">
        <f>T15</f>
        <v>5.4636399999999998</v>
      </c>
    </row>
    <row r="37" spans="2:20" ht="15.75" thickBot="1">
      <c r="L37" s="1437" t="s">
        <v>287</v>
      </c>
      <c r="M37" s="1438">
        <f>SUM(M34:M36)</f>
        <v>18.036832324999999</v>
      </c>
      <c r="N37" s="1438">
        <f>SUM(N34:N36)</f>
        <v>20.730350775000002</v>
      </c>
      <c r="O37" s="1439">
        <f>SUM(O34:O36)</f>
        <v>29.990162210000001</v>
      </c>
    </row>
    <row r="38" spans="2:20" ht="15.75" thickBot="1"/>
    <row r="39" spans="2:20">
      <c r="B39" s="2594" t="s">
        <v>1003</v>
      </c>
      <c r="C39" s="2594" t="s">
        <v>331</v>
      </c>
      <c r="D39" s="2593" t="s">
        <v>425</v>
      </c>
      <c r="E39" s="2593"/>
      <c r="F39" s="2593" t="s">
        <v>1751</v>
      </c>
      <c r="G39" s="2593"/>
      <c r="H39" s="2593"/>
      <c r="I39" s="2593"/>
      <c r="J39" s="970" t="s">
        <v>1752</v>
      </c>
      <c r="L39" s="1427" t="s">
        <v>2528</v>
      </c>
      <c r="M39" s="1428" t="s">
        <v>2511</v>
      </c>
      <c r="N39" s="1428" t="s">
        <v>2512</v>
      </c>
      <c r="O39" s="1429" t="s">
        <v>2513</v>
      </c>
    </row>
    <row r="40" spans="2:20">
      <c r="B40" s="2594"/>
      <c r="C40" s="2594"/>
      <c r="D40" s="1414" t="s">
        <v>1036</v>
      </c>
      <c r="E40" s="1414" t="s">
        <v>1037</v>
      </c>
      <c r="F40" s="1414" t="s">
        <v>1036</v>
      </c>
      <c r="G40" s="1414" t="s">
        <v>1943</v>
      </c>
      <c r="H40" s="1414" t="s">
        <v>1944</v>
      </c>
      <c r="I40" s="1414" t="s">
        <v>1952</v>
      </c>
      <c r="J40" s="1414" t="s">
        <v>1040</v>
      </c>
      <c r="L40" s="1430" t="s">
        <v>2521</v>
      </c>
      <c r="M40" s="973" t="e">
        <f>M23</f>
        <v>#REF!</v>
      </c>
      <c r="N40" s="973">
        <f>N23</f>
        <v>366.46323333333333</v>
      </c>
      <c r="O40" s="1436" t="e">
        <f>O23</f>
        <v>#REF!</v>
      </c>
    </row>
    <row r="41" spans="2:20">
      <c r="B41" s="971">
        <v>1</v>
      </c>
      <c r="C41" s="972" t="s">
        <v>1022</v>
      </c>
      <c r="D41" s="973">
        <f ca="1">'F1'!D71</f>
        <v>118.8827</v>
      </c>
      <c r="E41" s="973">
        <f>'F1'!E71</f>
        <v>192.74519329999998</v>
      </c>
      <c r="F41" s="973">
        <f>'F1'!F71</f>
        <v>0</v>
      </c>
      <c r="G41" s="973">
        <f>'F1'!G71</f>
        <v>99.14638429999998</v>
      </c>
      <c r="H41" s="973">
        <f>'F1'!H71</f>
        <v>133.34793001215803</v>
      </c>
      <c r="I41" s="973">
        <f>'F1'!I71</f>
        <v>232.49431431215805</v>
      </c>
      <c r="J41" s="973">
        <f>'F1'!J71</f>
        <v>273.21734200313267</v>
      </c>
      <c r="L41" s="1430" t="s">
        <v>2522</v>
      </c>
      <c r="M41" s="973">
        <f>M37</f>
        <v>18.036832324999999</v>
      </c>
      <c r="N41" s="973">
        <f>N37</f>
        <v>20.730350775000002</v>
      </c>
      <c r="O41" s="1436">
        <f>O37</f>
        <v>29.990162210000001</v>
      </c>
    </row>
    <row r="42" spans="2:20" ht="15.75" thickBot="1">
      <c r="B42" s="971">
        <v>2</v>
      </c>
      <c r="C42" s="972" t="s">
        <v>1973</v>
      </c>
      <c r="D42" s="973">
        <f>'F4'!D42</f>
        <v>48.26</v>
      </c>
      <c r="E42" s="973">
        <f>'F4'!E42</f>
        <v>12.473251800000002</v>
      </c>
      <c r="F42" s="973">
        <f>'F4'!F42</f>
        <v>68.89</v>
      </c>
      <c r="G42" s="973">
        <f>'F4'!G42</f>
        <v>10.188670199999999</v>
      </c>
      <c r="H42" s="973">
        <f>'F4'!H42</f>
        <v>59.195807354806057</v>
      </c>
      <c r="I42" s="973">
        <f>SUM(G42:H42)</f>
        <v>69.384477554806054</v>
      </c>
      <c r="J42" s="973">
        <f>'F4'!J42</f>
        <v>70.033482790164854</v>
      </c>
      <c r="L42" s="1437" t="s">
        <v>287</v>
      </c>
      <c r="M42" s="1438" t="e">
        <f>M40+M41</f>
        <v>#REF!</v>
      </c>
      <c r="N42" s="1438">
        <f>N40+N41</f>
        <v>387.19358410833331</v>
      </c>
      <c r="O42" s="1439" t="e">
        <f>O40+O41</f>
        <v>#REF!</v>
      </c>
    </row>
    <row r="43" spans="2:20">
      <c r="B43" s="971">
        <v>3</v>
      </c>
      <c r="C43" s="972" t="s">
        <v>1072</v>
      </c>
      <c r="D43" s="973">
        <f>'F5'!D52</f>
        <v>0.65</v>
      </c>
      <c r="E43" s="973">
        <f>'F5'!E52</f>
        <v>14.208967600000001</v>
      </c>
      <c r="F43" s="973">
        <f>'F5'!F52</f>
        <v>0</v>
      </c>
      <c r="G43" s="973">
        <f>'F5'!G52</f>
        <v>7.4531551999999994</v>
      </c>
      <c r="H43" s="973">
        <f>'F5'!H52</f>
        <v>24.559750763957211</v>
      </c>
      <c r="I43" s="973">
        <f>SUM(G43:H43)</f>
        <v>32.012905963957209</v>
      </c>
      <c r="J43" s="973">
        <f>'F5'!J52</f>
        <v>40.506505131676697</v>
      </c>
      <c r="M43" s="1425" t="e">
        <f>E76</f>
        <v>#REF!</v>
      </c>
      <c r="N43" s="1425"/>
      <c r="O43" s="1425"/>
      <c r="Q43" s="1424"/>
      <c r="R43" s="1424"/>
      <c r="S43" s="1424"/>
      <c r="T43" s="1424"/>
    </row>
    <row r="44" spans="2:20" s="1424" customFormat="1">
      <c r="B44" s="974">
        <v>4</v>
      </c>
      <c r="C44" s="975" t="s">
        <v>287</v>
      </c>
      <c r="D44" s="976">
        <f t="shared" ref="D44:J44" ca="1" si="11">SUM(D41:D43)</f>
        <v>167.7927</v>
      </c>
      <c r="E44" s="976">
        <f t="shared" si="11"/>
        <v>219.42741269999999</v>
      </c>
      <c r="F44" s="976">
        <f t="shared" si="11"/>
        <v>68.89</v>
      </c>
      <c r="G44" s="976">
        <f t="shared" si="11"/>
        <v>116.78820969999998</v>
      </c>
      <c r="H44" s="976">
        <f t="shared" si="11"/>
        <v>217.10348813092128</v>
      </c>
      <c r="I44" s="976">
        <f t="shared" si="11"/>
        <v>333.89169783092132</v>
      </c>
      <c r="J44" s="976">
        <f t="shared" si="11"/>
        <v>383.75732992497421</v>
      </c>
      <c r="L44" s="1303"/>
      <c r="M44" s="1303"/>
      <c r="N44" s="1303"/>
      <c r="O44" s="1303"/>
      <c r="Q44" s="1303"/>
      <c r="R44" s="1303"/>
      <c r="S44" s="1303"/>
      <c r="T44" s="1303"/>
    </row>
    <row r="46" spans="2:20">
      <c r="B46" s="2592" t="s">
        <v>1957</v>
      </c>
      <c r="C46" s="2592"/>
      <c r="D46" s="2592"/>
      <c r="E46" s="2592"/>
      <c r="F46" s="2592"/>
      <c r="G46" s="2592"/>
    </row>
    <row r="47" spans="2:20">
      <c r="B47" s="974" t="s">
        <v>1003</v>
      </c>
      <c r="C47" s="987" t="s">
        <v>331</v>
      </c>
      <c r="D47" s="974" t="s">
        <v>1966</v>
      </c>
      <c r="E47" s="974" t="s">
        <v>425</v>
      </c>
      <c r="F47" s="974" t="s">
        <v>1751</v>
      </c>
      <c r="G47" s="974" t="s">
        <v>1752</v>
      </c>
    </row>
    <row r="48" spans="2:20">
      <c r="B48" s="971">
        <v>1</v>
      </c>
      <c r="C48" s="972" t="s">
        <v>1965</v>
      </c>
      <c r="D48" s="971" t="s">
        <v>1967</v>
      </c>
      <c r="E48" s="984" t="e">
        <f>#REF!</f>
        <v>#REF!</v>
      </c>
      <c r="F48" s="984" t="e">
        <f>#REF!</f>
        <v>#REF!</v>
      </c>
      <c r="G48" s="984" t="e">
        <f>#REF!</f>
        <v>#REF!</v>
      </c>
    </row>
    <row r="49" spans="2:7">
      <c r="B49" s="971">
        <v>2</v>
      </c>
      <c r="C49" s="972" t="s">
        <v>1958</v>
      </c>
      <c r="D49" s="971" t="s">
        <v>1968</v>
      </c>
      <c r="E49" s="1118">
        <v>38.78</v>
      </c>
      <c r="F49" s="1118">
        <v>41</v>
      </c>
      <c r="G49" s="1118">
        <v>43.34</v>
      </c>
    </row>
    <row r="50" spans="2:7">
      <c r="B50" s="974">
        <v>3</v>
      </c>
      <c r="C50" s="975" t="s">
        <v>1959</v>
      </c>
      <c r="D50" s="974" t="s">
        <v>1968</v>
      </c>
      <c r="E50" s="1120" t="e">
        <f>E48*E49</f>
        <v>#REF!</v>
      </c>
      <c r="F50" s="1120" t="e">
        <f>F48*F49</f>
        <v>#REF!</v>
      </c>
      <c r="G50" s="1120" t="e">
        <f>G48*G49</f>
        <v>#REF!</v>
      </c>
    </row>
    <row r="51" spans="2:7">
      <c r="B51" s="972"/>
      <c r="C51" s="972"/>
      <c r="D51" s="971"/>
      <c r="E51" s="971"/>
      <c r="F51" s="971"/>
      <c r="G51" s="972"/>
    </row>
    <row r="52" spans="2:7">
      <c r="B52" s="2592" t="s">
        <v>1960</v>
      </c>
      <c r="C52" s="2592"/>
      <c r="D52" s="2592"/>
      <c r="E52" s="2592"/>
      <c r="F52" s="2592"/>
      <c r="G52" s="2592"/>
    </row>
    <row r="53" spans="2:7">
      <c r="B53" s="974" t="s">
        <v>1003</v>
      </c>
      <c r="C53" s="987" t="s">
        <v>331</v>
      </c>
      <c r="D53" s="974" t="s">
        <v>1966</v>
      </c>
      <c r="E53" s="974" t="s">
        <v>425</v>
      </c>
      <c r="F53" s="974" t="s">
        <v>1751</v>
      </c>
      <c r="G53" s="974" t="s">
        <v>1752</v>
      </c>
    </row>
    <row r="54" spans="2:7">
      <c r="B54" s="971">
        <v>1</v>
      </c>
      <c r="C54" s="972" t="s">
        <v>1965</v>
      </c>
      <c r="D54" s="971" t="s">
        <v>1967</v>
      </c>
      <c r="E54" s="984" t="e">
        <f>#REF!</f>
        <v>#REF!</v>
      </c>
      <c r="F54" s="984" t="e">
        <f>#REF!</f>
        <v>#REF!</v>
      </c>
      <c r="G54" s="984" t="e">
        <f>#REF!</f>
        <v>#REF!</v>
      </c>
    </row>
    <row r="55" spans="2:7">
      <c r="B55" s="971">
        <v>2</v>
      </c>
      <c r="C55" s="972" t="s">
        <v>1958</v>
      </c>
      <c r="D55" s="971" t="s">
        <v>1968</v>
      </c>
      <c r="E55" s="1118">
        <v>27.7</v>
      </c>
      <c r="F55" s="1118">
        <v>29.28</v>
      </c>
      <c r="G55" s="1118">
        <v>30.96</v>
      </c>
    </row>
    <row r="56" spans="2:7">
      <c r="B56" s="974">
        <v>3</v>
      </c>
      <c r="C56" s="975" t="s">
        <v>1959</v>
      </c>
      <c r="D56" s="974" t="s">
        <v>1968</v>
      </c>
      <c r="E56" s="1120" t="e">
        <f>E54*E55</f>
        <v>#REF!</v>
      </c>
      <c r="F56" s="1120" t="e">
        <f>F54*F55</f>
        <v>#REF!</v>
      </c>
      <c r="G56" s="1120" t="e">
        <f>G54*G55</f>
        <v>#REF!</v>
      </c>
    </row>
    <row r="57" spans="2:7">
      <c r="B57" s="972"/>
      <c r="C57" s="972"/>
      <c r="D57" s="971"/>
      <c r="E57" s="971"/>
      <c r="F57" s="971"/>
      <c r="G57" s="972"/>
    </row>
    <row r="58" spans="2:7">
      <c r="B58" s="2592" t="s">
        <v>1961</v>
      </c>
      <c r="C58" s="2592"/>
      <c r="D58" s="2592"/>
      <c r="E58" s="2592"/>
      <c r="F58" s="2592"/>
      <c r="G58" s="2592"/>
    </row>
    <row r="59" spans="2:7">
      <c r="B59" s="974" t="s">
        <v>1003</v>
      </c>
      <c r="C59" s="987" t="s">
        <v>331</v>
      </c>
      <c r="D59" s="974" t="s">
        <v>1966</v>
      </c>
      <c r="E59" s="974" t="s">
        <v>425</v>
      </c>
      <c r="F59" s="974" t="s">
        <v>1751</v>
      </c>
      <c r="G59" s="974" t="s">
        <v>1752</v>
      </c>
    </row>
    <row r="60" spans="2:7" ht="30">
      <c r="B60" s="971">
        <v>1</v>
      </c>
      <c r="C60" s="985" t="s">
        <v>1963</v>
      </c>
      <c r="D60" s="986" t="s">
        <v>1969</v>
      </c>
      <c r="E60" s="986">
        <v>4010</v>
      </c>
      <c r="F60" s="1398">
        <f>E60+SUM('TransmissionLines-Addition'!E4:E5)</f>
        <v>4399.8280000000004</v>
      </c>
      <c r="G60" s="1398">
        <f>F60+SUM('TransmissionLines-Addition'!G4:G5)+SUM('TransmissionLines-Addition'!I4:I5)</f>
        <v>4468.4400000000005</v>
      </c>
    </row>
    <row r="61" spans="2:7">
      <c r="B61" s="971">
        <v>2</v>
      </c>
      <c r="C61" s="972" t="s">
        <v>1958</v>
      </c>
      <c r="D61" s="986" t="s">
        <v>1968</v>
      </c>
      <c r="E61" s="1118">
        <v>0.189</v>
      </c>
      <c r="F61" s="1118">
        <v>0.2</v>
      </c>
      <c r="G61" s="1118">
        <v>0.21199999999999999</v>
      </c>
    </row>
    <row r="62" spans="2:7">
      <c r="B62" s="974">
        <v>3</v>
      </c>
      <c r="C62" s="975" t="s">
        <v>1959</v>
      </c>
      <c r="D62" s="989" t="s">
        <v>1968</v>
      </c>
      <c r="E62" s="1120">
        <f>E60*E61</f>
        <v>757.89</v>
      </c>
      <c r="F62" s="1120">
        <f>F60*F61</f>
        <v>879.96560000000011</v>
      </c>
      <c r="G62" s="1120">
        <f>G60*G61</f>
        <v>947.30928000000006</v>
      </c>
    </row>
    <row r="63" spans="2:7">
      <c r="B63" s="972"/>
      <c r="C63" s="972"/>
      <c r="D63" s="971"/>
      <c r="E63" s="971"/>
      <c r="F63" s="971"/>
      <c r="G63" s="972"/>
    </row>
    <row r="64" spans="2:7">
      <c r="B64" s="2592" t="s">
        <v>1962</v>
      </c>
      <c r="C64" s="2592"/>
      <c r="D64" s="2592"/>
      <c r="E64" s="2592"/>
      <c r="F64" s="2592"/>
      <c r="G64" s="2592"/>
    </row>
    <row r="65" spans="2:7">
      <c r="B65" s="974" t="s">
        <v>1003</v>
      </c>
      <c r="C65" s="987" t="s">
        <v>331</v>
      </c>
      <c r="D65" s="974" t="s">
        <v>1966</v>
      </c>
      <c r="E65" s="974" t="s">
        <v>425</v>
      </c>
      <c r="F65" s="974" t="s">
        <v>1751</v>
      </c>
      <c r="G65" s="974" t="s">
        <v>1752</v>
      </c>
    </row>
    <row r="66" spans="2:7" ht="30">
      <c r="B66" s="971">
        <v>1</v>
      </c>
      <c r="C66" s="985" t="s">
        <v>1964</v>
      </c>
      <c r="D66" s="986" t="s">
        <v>1969</v>
      </c>
      <c r="E66" s="986">
        <v>3712</v>
      </c>
      <c r="F66" s="1398">
        <f>E66+SUM('TransmissionLines-Addition'!E6:E7)</f>
        <v>3720.2919999999999</v>
      </c>
      <c r="G66" s="1398">
        <f>F66+SUM('TransmissionLines-Addition'!G6:G7)+SUM('TransmissionLines-Addition'!I6:I7)</f>
        <v>4207.0859999999993</v>
      </c>
    </row>
    <row r="67" spans="2:7">
      <c r="B67" s="971">
        <v>2</v>
      </c>
      <c r="C67" s="972" t="s">
        <v>1958</v>
      </c>
      <c r="D67" s="986" t="s">
        <v>1968</v>
      </c>
      <c r="E67" s="1118">
        <v>0.28399999999999997</v>
      </c>
      <c r="F67" s="1118">
        <v>0.30099999999999999</v>
      </c>
      <c r="G67" s="1118">
        <v>0.318</v>
      </c>
    </row>
    <row r="68" spans="2:7">
      <c r="B68" s="974">
        <v>3</v>
      </c>
      <c r="C68" s="975" t="s">
        <v>1959</v>
      </c>
      <c r="D68" s="989" t="s">
        <v>1968</v>
      </c>
      <c r="E68" s="1120">
        <f>E66*E67</f>
        <v>1054.2079999999999</v>
      </c>
      <c r="F68" s="1120">
        <f>F66*F67</f>
        <v>1119.807892</v>
      </c>
      <c r="G68" s="1120">
        <f>G66*G67</f>
        <v>1337.8533479999999</v>
      </c>
    </row>
    <row r="69" spans="2:7">
      <c r="B69" s="972"/>
      <c r="C69" s="972"/>
      <c r="D69" s="972"/>
      <c r="E69" s="972"/>
      <c r="F69" s="972"/>
      <c r="G69" s="972"/>
    </row>
    <row r="70" spans="2:7">
      <c r="B70" s="2592" t="s">
        <v>1972</v>
      </c>
      <c r="C70" s="2592"/>
      <c r="D70" s="2592"/>
      <c r="E70" s="2592"/>
      <c r="F70" s="2592"/>
      <c r="G70" s="2592"/>
    </row>
    <row r="71" spans="2:7">
      <c r="B71" s="974" t="s">
        <v>1003</v>
      </c>
      <c r="C71" s="987" t="s">
        <v>331</v>
      </c>
      <c r="D71" s="974" t="s">
        <v>1966</v>
      </c>
      <c r="E71" s="974" t="s">
        <v>425</v>
      </c>
      <c r="F71" s="974" t="s">
        <v>1751</v>
      </c>
      <c r="G71" s="974" t="s">
        <v>1752</v>
      </c>
    </row>
    <row r="72" spans="2:7">
      <c r="B72" s="971">
        <v>1</v>
      </c>
      <c r="C72" s="972" t="s">
        <v>1957</v>
      </c>
      <c r="D72" s="971" t="s">
        <v>1968</v>
      </c>
      <c r="E72" s="984" t="e">
        <f>E50</f>
        <v>#REF!</v>
      </c>
      <c r="F72" s="984" t="e">
        <f>F50</f>
        <v>#REF!</v>
      </c>
      <c r="G72" s="984" t="e">
        <f>G50</f>
        <v>#REF!</v>
      </c>
    </row>
    <row r="73" spans="2:7">
      <c r="B73" s="971">
        <v>2</v>
      </c>
      <c r="C73" s="972" t="s">
        <v>1960</v>
      </c>
      <c r="D73" s="971" t="s">
        <v>1968</v>
      </c>
      <c r="E73" s="984" t="e">
        <f>E56</f>
        <v>#REF!</v>
      </c>
      <c r="F73" s="984" t="e">
        <f>F56</f>
        <v>#REF!</v>
      </c>
      <c r="G73" s="984" t="e">
        <f>G56</f>
        <v>#REF!</v>
      </c>
    </row>
    <row r="74" spans="2:7">
      <c r="B74" s="971">
        <v>3</v>
      </c>
      <c r="C74" s="972" t="s">
        <v>1970</v>
      </c>
      <c r="D74" s="971" t="s">
        <v>1968</v>
      </c>
      <c r="E74" s="984">
        <f>E62</f>
        <v>757.89</v>
      </c>
      <c r="F74" s="984">
        <f>F62</f>
        <v>879.96560000000011</v>
      </c>
      <c r="G74" s="984">
        <f>G62</f>
        <v>947.30928000000006</v>
      </c>
    </row>
    <row r="75" spans="2:7">
      <c r="B75" s="971">
        <v>4</v>
      </c>
      <c r="C75" s="972" t="s">
        <v>1971</v>
      </c>
      <c r="D75" s="971" t="s">
        <v>1968</v>
      </c>
      <c r="E75" s="984">
        <f>E68</f>
        <v>1054.2079999999999</v>
      </c>
      <c r="F75" s="984">
        <f>F68</f>
        <v>1119.807892</v>
      </c>
      <c r="G75" s="984">
        <f>G68</f>
        <v>1337.8533479999999</v>
      </c>
    </row>
    <row r="76" spans="2:7">
      <c r="B76" s="974">
        <v>5</v>
      </c>
      <c r="C76" s="975" t="s">
        <v>287</v>
      </c>
      <c r="D76" s="974" t="s">
        <v>1968</v>
      </c>
      <c r="E76" s="988" t="e">
        <f>SUM(E72:E75)</f>
        <v>#REF!</v>
      </c>
      <c r="F76" s="988" t="e">
        <f>SUM(F72:F75)</f>
        <v>#REF!</v>
      </c>
      <c r="G76" s="988" t="e">
        <f>SUM(G72:G75)</f>
        <v>#REF!</v>
      </c>
    </row>
  </sheetData>
  <mergeCells count="9">
    <mergeCell ref="B58:G58"/>
    <mergeCell ref="B64:G64"/>
    <mergeCell ref="B70:G70"/>
    <mergeCell ref="D39:E39"/>
    <mergeCell ref="F39:I39"/>
    <mergeCell ref="C39:C40"/>
    <mergeCell ref="B39:B40"/>
    <mergeCell ref="B46:G46"/>
    <mergeCell ref="B52:G5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1"/>
  <sheetViews>
    <sheetView view="pageBreakPreview" zoomScale="69" zoomScaleNormal="70" zoomScaleSheetLayoutView="69" workbookViewId="0">
      <selection activeCell="I12" sqref="I12"/>
    </sheetView>
  </sheetViews>
  <sheetFormatPr defaultRowHeight="15.75"/>
  <cols>
    <col min="1" max="1" width="29.7109375" style="1872" customWidth="1"/>
    <col min="2" max="2" width="8" style="1872" customWidth="1"/>
    <col min="3" max="3" width="20.85546875" style="1872" customWidth="1"/>
    <col min="4" max="4" width="56.85546875" style="1872" customWidth="1"/>
    <col min="5" max="5" width="35.85546875" style="1872" hidden="1" customWidth="1"/>
    <col min="6" max="7" width="9.140625" style="1872"/>
    <col min="8" max="8" width="12.140625" style="1872" customWidth="1"/>
    <col min="9" max="16384" width="9.140625" style="1872"/>
  </cols>
  <sheetData>
    <row r="1" spans="2:8">
      <c r="B1" s="1871"/>
      <c r="C1" s="1871"/>
      <c r="D1" s="1871"/>
      <c r="E1" s="1871"/>
    </row>
    <row r="2" spans="2:8" ht="15.75" customHeight="1">
      <c r="B2" s="2418" t="s">
        <v>2549</v>
      </c>
      <c r="C2" s="2418"/>
      <c r="D2" s="2418"/>
      <c r="E2" s="2418"/>
      <c r="F2" s="167"/>
      <c r="G2" s="167"/>
      <c r="H2" s="167"/>
    </row>
    <row r="3" spans="2:8" ht="15.75" customHeight="1">
      <c r="B3" s="2419" t="s">
        <v>2689</v>
      </c>
      <c r="C3" s="2419"/>
      <c r="D3" s="2419"/>
      <c r="E3" s="2419"/>
      <c r="F3" s="150"/>
      <c r="G3" s="150"/>
      <c r="H3" s="150"/>
    </row>
    <row r="4" spans="2:8" ht="16.5" thickBot="1">
      <c r="B4" s="1871"/>
      <c r="C4" s="1871"/>
      <c r="D4" s="1871"/>
      <c r="E4" s="1871"/>
    </row>
    <row r="5" spans="2:8">
      <c r="B5" s="1873" t="s">
        <v>1003</v>
      </c>
      <c r="C5" s="1874" t="s">
        <v>1005</v>
      </c>
      <c r="D5" s="1875" t="s">
        <v>1006</v>
      </c>
      <c r="E5" s="1876"/>
    </row>
    <row r="6" spans="2:8">
      <c r="B6" s="1877">
        <v>1</v>
      </c>
      <c r="C6" s="1878" t="s">
        <v>2571</v>
      </c>
      <c r="D6" s="1879" t="s">
        <v>2756</v>
      </c>
      <c r="E6" s="1880"/>
    </row>
    <row r="7" spans="2:8">
      <c r="B7" s="1877">
        <v>2</v>
      </c>
      <c r="C7" s="1878" t="s">
        <v>1007</v>
      </c>
      <c r="D7" s="1879" t="s">
        <v>1022</v>
      </c>
      <c r="E7" s="1880"/>
    </row>
    <row r="8" spans="2:8">
      <c r="B8" s="1877">
        <v>3</v>
      </c>
      <c r="C8" s="1878" t="s">
        <v>1008</v>
      </c>
      <c r="D8" s="1879" t="s">
        <v>1023</v>
      </c>
      <c r="E8" s="1880"/>
    </row>
    <row r="9" spans="2:8">
      <c r="B9" s="1877">
        <v>4</v>
      </c>
      <c r="C9" s="1878" t="s">
        <v>1009</v>
      </c>
      <c r="D9" s="1879" t="s">
        <v>1024</v>
      </c>
      <c r="E9" s="1880"/>
    </row>
    <row r="10" spans="2:8">
      <c r="B10" s="1877">
        <v>5</v>
      </c>
      <c r="C10" s="1878" t="s">
        <v>1010</v>
      </c>
      <c r="D10" s="1879" t="s">
        <v>1025</v>
      </c>
      <c r="E10" s="1880"/>
    </row>
    <row r="11" spans="2:8">
      <c r="B11" s="1877">
        <v>6</v>
      </c>
      <c r="C11" s="1878" t="s">
        <v>1011</v>
      </c>
      <c r="D11" s="1879" t="s">
        <v>384</v>
      </c>
      <c r="E11" s="1880"/>
    </row>
    <row r="12" spans="2:8">
      <c r="B12" s="1877">
        <v>7</v>
      </c>
      <c r="C12" s="1878" t="s">
        <v>1012</v>
      </c>
      <c r="D12" s="1879" t="s">
        <v>1026</v>
      </c>
      <c r="E12" s="1880"/>
    </row>
    <row r="13" spans="2:8">
      <c r="B13" s="1877">
        <v>8</v>
      </c>
      <c r="C13" s="1878" t="s">
        <v>1013</v>
      </c>
      <c r="D13" s="1879" t="s">
        <v>2255</v>
      </c>
      <c r="E13" s="1880"/>
    </row>
    <row r="14" spans="2:8">
      <c r="B14" s="1877">
        <v>9</v>
      </c>
      <c r="C14" s="1878" t="s">
        <v>1014</v>
      </c>
      <c r="D14" s="1879" t="s">
        <v>1027</v>
      </c>
      <c r="E14" s="1880"/>
    </row>
    <row r="15" spans="2:8">
      <c r="B15" s="1877">
        <v>10</v>
      </c>
      <c r="C15" s="1878" t="s">
        <v>1015</v>
      </c>
      <c r="D15" s="1879" t="s">
        <v>1394</v>
      </c>
      <c r="E15" s="1880"/>
    </row>
    <row r="16" spans="2:8">
      <c r="B16" s="1877">
        <v>11</v>
      </c>
      <c r="C16" s="1878" t="s">
        <v>1016</v>
      </c>
      <c r="D16" s="1879" t="s">
        <v>421</v>
      </c>
      <c r="E16" s="1880"/>
    </row>
    <row r="17" spans="2:5" s="1884" customFormat="1" hidden="1">
      <c r="B17" s="1877"/>
      <c r="C17" s="1881"/>
      <c r="D17" s="1882"/>
      <c r="E17" s="1883"/>
    </row>
    <row r="18" spans="2:5" s="1884" customFormat="1" hidden="1">
      <c r="B18" s="1877"/>
      <c r="C18" s="1881"/>
      <c r="D18" s="1882"/>
      <c r="E18" s="1883"/>
    </row>
    <row r="19" spans="2:5" s="1884" customFormat="1" hidden="1">
      <c r="B19" s="1877"/>
      <c r="C19" s="1881"/>
      <c r="D19" s="1882"/>
      <c r="E19" s="1883"/>
    </row>
    <row r="20" spans="2:5" s="1884" customFormat="1">
      <c r="B20" s="1877">
        <v>12</v>
      </c>
      <c r="C20" s="1878" t="s">
        <v>1017</v>
      </c>
      <c r="D20" s="1879" t="s">
        <v>2638</v>
      </c>
      <c r="E20" s="1883"/>
    </row>
    <row r="21" spans="2:5" s="1884" customFormat="1" hidden="1">
      <c r="B21" s="1877"/>
      <c r="C21" s="1878"/>
      <c r="D21" s="1879"/>
      <c r="E21" s="1883"/>
    </row>
    <row r="22" spans="2:5" s="1884" customFormat="1">
      <c r="B22" s="1877">
        <v>13</v>
      </c>
      <c r="C22" s="1878" t="s">
        <v>1018</v>
      </c>
      <c r="D22" s="1879" t="s">
        <v>2735</v>
      </c>
      <c r="E22" s="1883"/>
    </row>
    <row r="23" spans="2:5">
      <c r="B23" s="1877">
        <v>14</v>
      </c>
      <c r="C23" s="1878" t="s">
        <v>1019</v>
      </c>
      <c r="D23" s="1879" t="s">
        <v>340</v>
      </c>
      <c r="E23" s="1880"/>
    </row>
    <row r="24" spans="2:5">
      <c r="B24" s="1877">
        <v>15</v>
      </c>
      <c r="C24" s="1878" t="s">
        <v>1020</v>
      </c>
      <c r="D24" s="1879" t="s">
        <v>1028</v>
      </c>
      <c r="E24" s="1880"/>
    </row>
    <row r="25" spans="2:5">
      <c r="B25" s="1877">
        <v>16</v>
      </c>
      <c r="C25" s="1878" t="s">
        <v>1021</v>
      </c>
      <c r="D25" s="1885" t="s">
        <v>243</v>
      </c>
      <c r="E25" s="1880"/>
    </row>
    <row r="26" spans="2:5">
      <c r="B26" s="1877">
        <v>17</v>
      </c>
      <c r="C26" s="1878" t="s">
        <v>1408</v>
      </c>
      <c r="D26" s="1879" t="s">
        <v>1410</v>
      </c>
      <c r="E26" s="1880"/>
    </row>
    <row r="27" spans="2:5" ht="16.5" thickBot="1">
      <c r="B27" s="1886">
        <v>18</v>
      </c>
      <c r="C27" s="1887" t="s">
        <v>1409</v>
      </c>
      <c r="D27" s="1888" t="s">
        <v>1401</v>
      </c>
      <c r="E27" s="1880"/>
    </row>
    <row r="28" spans="2:5" ht="16.5" hidden="1" thickBot="1">
      <c r="B28" s="2135"/>
      <c r="C28" s="2136"/>
      <c r="D28" s="2137"/>
      <c r="E28" s="1880"/>
    </row>
    <row r="29" spans="2:5" s="1884" customFormat="1" hidden="1">
      <c r="B29" s="1889">
        <v>22</v>
      </c>
      <c r="C29" s="1890" t="s">
        <v>2552</v>
      </c>
      <c r="D29" s="1891" t="s">
        <v>1367</v>
      </c>
      <c r="E29" s="1891" t="s">
        <v>1411</v>
      </c>
    </row>
    <row r="30" spans="2:5" s="1884" customFormat="1" hidden="1">
      <c r="B30" s="1892">
        <v>23</v>
      </c>
      <c r="C30" s="1881" t="s">
        <v>1365</v>
      </c>
      <c r="D30" s="1893" t="s">
        <v>1368</v>
      </c>
      <c r="E30" s="1893" t="s">
        <v>1411</v>
      </c>
    </row>
    <row r="31" spans="2:5" s="1884" customFormat="1" hidden="1">
      <c r="B31" s="1892">
        <v>24</v>
      </c>
      <c r="C31" s="1881" t="s">
        <v>1366</v>
      </c>
      <c r="D31" s="1893" t="s">
        <v>1369</v>
      </c>
      <c r="E31" s="1893" t="s">
        <v>1411</v>
      </c>
    </row>
  </sheetData>
  <sheetProtection selectLockedCells="1" selectUnlockedCells="1"/>
  <mergeCells count="2">
    <mergeCell ref="B2:E2"/>
    <mergeCell ref="B3:E3"/>
  </mergeCells>
  <printOptions horizontalCentered="1"/>
  <pageMargins left="0.7" right="0.7" top="0.75" bottom="0.75" header="0.3" footer="0.3"/>
  <pageSetup paperSize="9" orientation="landscape" useFirstPageNumber="1" r:id="rId1"/>
  <headerFooter>
    <oddFooter>&amp;R&amp;P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Y17"/>
  <sheetViews>
    <sheetView topLeftCell="B2" workbookViewId="0">
      <selection activeCell="H11" sqref="H11"/>
    </sheetView>
  </sheetViews>
  <sheetFormatPr defaultRowHeight="15"/>
  <cols>
    <col min="1" max="1" width="9.140625" style="1416"/>
    <col min="2" max="2" width="34.5703125" style="1416" customWidth="1"/>
    <col min="3" max="17" width="9.140625" style="1416"/>
    <col min="18" max="18" width="15.85546875" style="1416" customWidth="1"/>
    <col min="19" max="16384" width="9.140625" style="1416"/>
  </cols>
  <sheetData>
    <row r="1" spans="1:25" ht="15.75">
      <c r="A1" s="2595" t="s">
        <v>2420</v>
      </c>
      <c r="B1" s="2595"/>
      <c r="C1" s="2595"/>
      <c r="D1" s="2595"/>
      <c r="E1" s="2595"/>
      <c r="F1" s="2595"/>
      <c r="G1" s="2595"/>
      <c r="H1" s="2595"/>
      <c r="I1" s="2595"/>
      <c r="J1" s="2595"/>
      <c r="K1" s="2595"/>
      <c r="L1" s="2595"/>
    </row>
    <row r="2" spans="1:25" ht="150">
      <c r="A2" s="2596" t="s">
        <v>394</v>
      </c>
      <c r="B2" s="2596" t="s">
        <v>1423</v>
      </c>
      <c r="C2" s="1417"/>
      <c r="D2" s="1418" t="s">
        <v>2421</v>
      </c>
      <c r="E2" s="1418" t="s">
        <v>2422</v>
      </c>
      <c r="F2" s="1418" t="s">
        <v>2423</v>
      </c>
      <c r="G2" s="1418" t="s">
        <v>2424</v>
      </c>
      <c r="H2" s="1418" t="s">
        <v>2425</v>
      </c>
      <c r="I2" s="1418" t="s">
        <v>2426</v>
      </c>
      <c r="J2" s="1418" t="s">
        <v>2427</v>
      </c>
      <c r="K2" s="1418" t="s">
        <v>2428</v>
      </c>
      <c r="L2" s="1418" t="s">
        <v>2429</v>
      </c>
      <c r="P2" s="1416" t="s">
        <v>2509</v>
      </c>
      <c r="Q2" s="1416" t="s">
        <v>2510</v>
      </c>
    </row>
    <row r="3" spans="1:25" ht="30">
      <c r="A3" s="2596"/>
      <c r="B3" s="2596"/>
      <c r="C3" s="1417"/>
      <c r="D3" s="1418" t="s">
        <v>1037</v>
      </c>
      <c r="E3" s="1418" t="s">
        <v>1037</v>
      </c>
      <c r="F3" s="1418" t="s">
        <v>1037</v>
      </c>
      <c r="G3" s="1418" t="s">
        <v>1037</v>
      </c>
      <c r="H3" s="1418" t="s">
        <v>1037</v>
      </c>
      <c r="I3" s="1418" t="s">
        <v>1040</v>
      </c>
      <c r="J3" s="1418" t="s">
        <v>1040</v>
      </c>
      <c r="K3" s="1418" t="s">
        <v>1040</v>
      </c>
      <c r="L3" s="1418" t="s">
        <v>1040</v>
      </c>
      <c r="P3" s="1416">
        <v>2010</v>
      </c>
      <c r="Q3" s="1416">
        <v>2010</v>
      </c>
    </row>
    <row r="4" spans="1:25">
      <c r="A4" s="2596">
        <v>1</v>
      </c>
      <c r="B4" s="2596" t="s">
        <v>2430</v>
      </c>
      <c r="C4" s="1418" t="s">
        <v>103</v>
      </c>
      <c r="D4" s="1419">
        <v>1486.1579999999999</v>
      </c>
      <c r="E4" s="1419">
        <v>335.80500000000001</v>
      </c>
      <c r="F4" s="1419">
        <v>1821.963</v>
      </c>
      <c r="G4" s="1419">
        <v>25.763999999999999</v>
      </c>
      <c r="H4" s="1419">
        <f>F4+G4</f>
        <v>1847.7269999999999</v>
      </c>
      <c r="I4" s="1419">
        <v>172.18899999999999</v>
      </c>
      <c r="J4" s="1419">
        <f>H4+I4</f>
        <v>2019.9159999999999</v>
      </c>
      <c r="K4" s="1419">
        <v>41.457999999999998</v>
      </c>
      <c r="L4" s="1419">
        <f>J4+K4</f>
        <v>2061.3739999999998</v>
      </c>
      <c r="N4" s="1420">
        <f>D4+E4</f>
        <v>1821.963</v>
      </c>
    </row>
    <row r="5" spans="1:25">
      <c r="A5" s="2596"/>
      <c r="B5" s="2596"/>
      <c r="C5" s="1418" t="s">
        <v>431</v>
      </c>
      <c r="D5" s="1419">
        <v>2219.9839999999999</v>
      </c>
      <c r="E5" s="1419">
        <v>54.023000000000003</v>
      </c>
      <c r="F5" s="1419">
        <v>2228.2800000000002</v>
      </c>
      <c r="G5" s="1419">
        <v>22.847999999999999</v>
      </c>
      <c r="H5" s="1419">
        <f>F5+G5</f>
        <v>2251.1280000000002</v>
      </c>
      <c r="I5" s="1419">
        <v>20</v>
      </c>
      <c r="J5" s="1419">
        <f>H5+I5</f>
        <v>2271.1280000000002</v>
      </c>
      <c r="K5" s="1419"/>
      <c r="L5" s="1419">
        <f>J5+K5</f>
        <v>2271.1280000000002</v>
      </c>
      <c r="N5" s="1420">
        <f>D5+E5</f>
        <v>2274.0070000000001</v>
      </c>
    </row>
    <row r="6" spans="1:25">
      <c r="A6" s="1417"/>
      <c r="B6" s="1417"/>
      <c r="C6" s="1418"/>
      <c r="D6" s="1419">
        <f>D4+D5</f>
        <v>3706.1419999999998</v>
      </c>
      <c r="E6" s="1419">
        <f t="shared" ref="E6:L6" si="0">E4+E5</f>
        <v>389.82800000000003</v>
      </c>
      <c r="F6" s="1419">
        <f t="shared" si="0"/>
        <v>4050.2430000000004</v>
      </c>
      <c r="G6" s="1419">
        <f t="shared" si="0"/>
        <v>48.611999999999995</v>
      </c>
      <c r="H6" s="1419">
        <f t="shared" si="0"/>
        <v>4098.8549999999996</v>
      </c>
      <c r="I6" s="1419">
        <f t="shared" si="0"/>
        <v>192.18899999999999</v>
      </c>
      <c r="J6" s="1419">
        <f t="shared" si="0"/>
        <v>4291.0439999999999</v>
      </c>
      <c r="K6" s="1419">
        <f t="shared" si="0"/>
        <v>41.457999999999998</v>
      </c>
      <c r="L6" s="1419">
        <f t="shared" si="0"/>
        <v>4332.5020000000004</v>
      </c>
      <c r="N6" s="1420"/>
    </row>
    <row r="7" spans="1:25">
      <c r="A7" s="2596">
        <v>2</v>
      </c>
      <c r="B7" s="2596" t="s">
        <v>2431</v>
      </c>
      <c r="C7" s="1418" t="s">
        <v>103</v>
      </c>
      <c r="D7" s="1419">
        <v>2834.94</v>
      </c>
      <c r="E7" s="1419">
        <v>8.2919999999999998</v>
      </c>
      <c r="F7" s="1419">
        <v>2942.9870000000001</v>
      </c>
      <c r="G7" s="1419">
        <v>36.793999999999997</v>
      </c>
      <c r="H7" s="1419">
        <f>F7+G7</f>
        <v>2979.7809999999999</v>
      </c>
      <c r="I7" s="1419">
        <v>379.23899999999998</v>
      </c>
      <c r="J7" s="1419">
        <f>H7+I7</f>
        <v>3359.02</v>
      </c>
      <c r="K7" s="1419">
        <v>1196.1669999999999</v>
      </c>
      <c r="L7" s="1419">
        <f>J7+K7</f>
        <v>4555.1869999999999</v>
      </c>
      <c r="N7" s="1420">
        <f>D7+E7</f>
        <v>2843.232</v>
      </c>
      <c r="P7" s="1416" t="s">
        <v>1423</v>
      </c>
      <c r="Q7" s="1416" t="s">
        <v>1424</v>
      </c>
      <c r="R7" s="1416" t="s">
        <v>1425</v>
      </c>
      <c r="S7" s="1416" t="s">
        <v>1426</v>
      </c>
      <c r="T7" s="1416" t="s">
        <v>1427</v>
      </c>
      <c r="U7" s="1416" t="s">
        <v>1428</v>
      </c>
      <c r="V7" s="1416" t="s">
        <v>1429</v>
      </c>
      <c r="W7" s="1416" t="s">
        <v>1430</v>
      </c>
    </row>
    <row r="8" spans="1:25">
      <c r="A8" s="2596"/>
      <c r="B8" s="2596"/>
      <c r="C8" s="1418" t="s">
        <v>431</v>
      </c>
      <c r="D8" s="1419">
        <v>881.12400000000002</v>
      </c>
      <c r="E8" s="1419">
        <v>0</v>
      </c>
      <c r="F8" s="1419">
        <v>881.12400000000002</v>
      </c>
      <c r="G8" s="1419"/>
      <c r="H8" s="1419">
        <f>F8+G8</f>
        <v>881.12400000000002</v>
      </c>
      <c r="I8" s="1419"/>
      <c r="J8" s="1419">
        <f>H8+I8</f>
        <v>881.12400000000002</v>
      </c>
      <c r="K8" s="1419"/>
      <c r="L8" s="1419">
        <f>J8+K8</f>
        <v>881.12400000000002</v>
      </c>
      <c r="N8" s="1420">
        <f>D8+E8</f>
        <v>881.12400000000002</v>
      </c>
      <c r="P8" s="1416" t="s">
        <v>103</v>
      </c>
      <c r="Q8" s="1416">
        <v>4680.0349999999999</v>
      </c>
      <c r="R8" s="1416">
        <v>342.51600000000002</v>
      </c>
      <c r="S8" s="1416">
        <v>5022.5509999999995</v>
      </c>
      <c r="T8" s="1421">
        <v>30.29</v>
      </c>
      <c r="U8" s="1416">
        <v>72.308000000000007</v>
      </c>
      <c r="V8" s="1416">
        <v>450</v>
      </c>
    </row>
    <row r="9" spans="1:25">
      <c r="A9" s="1417"/>
      <c r="B9" s="1417"/>
      <c r="C9" s="1418"/>
      <c r="D9" s="1419">
        <f>D7+D8</f>
        <v>3716.0640000000003</v>
      </c>
      <c r="E9" s="1419">
        <f t="shared" ref="E9:L9" si="1">E7+E8</f>
        <v>8.2919999999999998</v>
      </c>
      <c r="F9" s="1419">
        <f t="shared" si="1"/>
        <v>3824.1109999999999</v>
      </c>
      <c r="G9" s="1419">
        <f t="shared" si="1"/>
        <v>36.793999999999997</v>
      </c>
      <c r="H9" s="1419">
        <f t="shared" si="1"/>
        <v>3860.9049999999997</v>
      </c>
      <c r="I9" s="1419">
        <f t="shared" si="1"/>
        <v>379.23899999999998</v>
      </c>
      <c r="J9" s="1419">
        <f t="shared" si="1"/>
        <v>4240.1440000000002</v>
      </c>
      <c r="K9" s="1419">
        <f t="shared" si="1"/>
        <v>1196.1669999999999</v>
      </c>
      <c r="L9" s="1419">
        <f t="shared" si="1"/>
        <v>5436.3109999999997</v>
      </c>
      <c r="N9" s="1420"/>
      <c r="T9" s="1421"/>
    </row>
    <row r="10" spans="1:25">
      <c r="A10" s="2596">
        <v>3</v>
      </c>
      <c r="B10" s="2596" t="s">
        <v>2432</v>
      </c>
      <c r="C10" s="1418" t="s">
        <v>103</v>
      </c>
      <c r="D10" s="1418"/>
      <c r="E10" s="1418"/>
      <c r="F10" s="1418"/>
      <c r="G10" s="1418"/>
      <c r="H10" s="1418"/>
      <c r="I10" s="1418"/>
      <c r="J10" s="1418"/>
      <c r="K10" s="1418"/>
      <c r="L10" s="1418"/>
      <c r="P10" s="1416" t="s">
        <v>431</v>
      </c>
      <c r="Q10" s="1416">
        <v>3139.09</v>
      </c>
      <c r="R10" s="1416">
        <v>30.966999999999999</v>
      </c>
      <c r="S10" s="1416">
        <v>3170.0570000000002</v>
      </c>
      <c r="T10" s="1416">
        <v>22.847999999999999</v>
      </c>
      <c r="U10" s="1416">
        <v>22.847999999999999</v>
      </c>
      <c r="V10" s="1416">
        <v>20</v>
      </c>
    </row>
    <row r="11" spans="1:25">
      <c r="A11" s="2596"/>
      <c r="B11" s="2596"/>
      <c r="C11" s="1418" t="s">
        <v>431</v>
      </c>
      <c r="D11" s="1418"/>
      <c r="E11" s="1418"/>
      <c r="F11" s="1418"/>
      <c r="G11" s="1418"/>
      <c r="H11" s="1418"/>
      <c r="I11" s="1418"/>
      <c r="J11" s="1418"/>
      <c r="K11" s="1418"/>
      <c r="L11" s="1418"/>
      <c r="P11" s="1416" t="s">
        <v>1431</v>
      </c>
      <c r="Q11" s="1416">
        <v>7819.125</v>
      </c>
      <c r="R11" s="1416">
        <v>373.483</v>
      </c>
      <c r="S11" s="1416">
        <v>8192.6080000000002</v>
      </c>
      <c r="T11" s="1421">
        <v>53.137999999999998</v>
      </c>
      <c r="U11" s="1421">
        <v>95.156000000000006</v>
      </c>
      <c r="V11" s="1416">
        <v>470</v>
      </c>
    </row>
    <row r="12" spans="1:25">
      <c r="A12" s="2596">
        <v>4</v>
      </c>
      <c r="B12" s="2596" t="s">
        <v>2433</v>
      </c>
      <c r="C12" s="1418" t="s">
        <v>103</v>
      </c>
      <c r="D12" s="1418"/>
      <c r="E12" s="1418"/>
      <c r="F12" s="1418"/>
      <c r="G12" s="1418"/>
      <c r="H12" s="1418"/>
      <c r="I12" s="1418"/>
      <c r="J12" s="1418"/>
      <c r="K12" s="1418"/>
      <c r="L12" s="1418"/>
    </row>
    <row r="13" spans="1:25">
      <c r="A13" s="2596"/>
      <c r="B13" s="2596"/>
      <c r="C13" s="1418" t="s">
        <v>431</v>
      </c>
      <c r="D13" s="1418"/>
      <c r="E13" s="1418"/>
      <c r="F13" s="1418"/>
      <c r="G13" s="1418"/>
      <c r="H13" s="1418"/>
      <c r="I13" s="1418"/>
      <c r="J13" s="1418"/>
      <c r="K13" s="1418"/>
      <c r="L13" s="1418"/>
      <c r="Q13" s="1420">
        <f>D7+D4</f>
        <v>4321.098</v>
      </c>
      <c r="R13" s="1420">
        <f t="shared" ref="R13:Y13" si="2">E7+E4</f>
        <v>344.09699999999998</v>
      </c>
      <c r="S13" s="1420">
        <f t="shared" si="2"/>
        <v>4764.95</v>
      </c>
      <c r="T13" s="1420">
        <f t="shared" si="2"/>
        <v>62.557999999999993</v>
      </c>
      <c r="U13" s="1420">
        <f t="shared" si="2"/>
        <v>4827.5079999999998</v>
      </c>
      <c r="V13" s="1420">
        <f t="shared" si="2"/>
        <v>551.428</v>
      </c>
      <c r="W13" s="1420">
        <f t="shared" si="2"/>
        <v>5378.9359999999997</v>
      </c>
      <c r="X13" s="1420">
        <f t="shared" si="2"/>
        <v>1237.625</v>
      </c>
      <c r="Y13" s="1420">
        <f t="shared" si="2"/>
        <v>6616.5609999999997</v>
      </c>
    </row>
    <row r="14" spans="1:25">
      <c r="A14" s="2596">
        <v>5</v>
      </c>
      <c r="B14" s="2596" t="s">
        <v>2434</v>
      </c>
      <c r="C14" s="1418" t="s">
        <v>103</v>
      </c>
      <c r="D14" s="1418"/>
      <c r="E14" s="1418"/>
      <c r="F14" s="1418"/>
      <c r="G14" s="1418"/>
      <c r="H14" s="1418"/>
      <c r="I14" s="1418"/>
      <c r="J14" s="1418"/>
      <c r="K14" s="1418"/>
      <c r="L14" s="1418"/>
      <c r="Q14" s="1420">
        <f>D8+D5</f>
        <v>3101.1080000000002</v>
      </c>
      <c r="R14" s="1420">
        <f t="shared" ref="R14:Y14" si="3">E8+E5</f>
        <v>54.023000000000003</v>
      </c>
      <c r="S14" s="1420">
        <f t="shared" si="3"/>
        <v>3109.4040000000005</v>
      </c>
      <c r="T14" s="1420">
        <f t="shared" si="3"/>
        <v>22.847999999999999</v>
      </c>
      <c r="U14" s="1420">
        <f t="shared" si="3"/>
        <v>3132.2520000000004</v>
      </c>
      <c r="V14" s="1420">
        <f t="shared" si="3"/>
        <v>20</v>
      </c>
      <c r="W14" s="1420">
        <f t="shared" si="3"/>
        <v>3152.2520000000004</v>
      </c>
      <c r="X14" s="1420">
        <f t="shared" si="3"/>
        <v>0</v>
      </c>
      <c r="Y14" s="1420">
        <f t="shared" si="3"/>
        <v>3152.2520000000004</v>
      </c>
    </row>
    <row r="15" spans="1:25">
      <c r="A15" s="2596"/>
      <c r="B15" s="2596"/>
      <c r="C15" s="1418" t="s">
        <v>431</v>
      </c>
      <c r="D15" s="1418"/>
      <c r="E15" s="1418"/>
      <c r="F15" s="1418"/>
      <c r="G15" s="1418"/>
      <c r="H15" s="1418"/>
      <c r="I15" s="1418"/>
      <c r="J15" s="1418"/>
      <c r="K15" s="1418"/>
      <c r="L15" s="1418"/>
    </row>
    <row r="16" spans="1:25">
      <c r="A16" s="2596">
        <v>6</v>
      </c>
      <c r="B16" s="2596" t="s">
        <v>2435</v>
      </c>
      <c r="C16" s="1418" t="s">
        <v>103</v>
      </c>
      <c r="D16" s="1418"/>
      <c r="E16" s="1418"/>
      <c r="F16" s="1418"/>
      <c r="G16" s="1418"/>
      <c r="H16" s="1418"/>
      <c r="I16" s="1418"/>
      <c r="J16" s="1418"/>
      <c r="K16" s="1418"/>
      <c r="L16" s="1418"/>
    </row>
    <row r="17" spans="1:12">
      <c r="A17" s="2596"/>
      <c r="B17" s="2596"/>
      <c r="C17" s="1418" t="s">
        <v>431</v>
      </c>
      <c r="D17" s="1418"/>
      <c r="E17" s="1418"/>
      <c r="F17" s="1418"/>
      <c r="G17" s="1418"/>
      <c r="H17" s="1418"/>
      <c r="I17" s="1418"/>
      <c r="J17" s="1418"/>
      <c r="K17" s="1418"/>
      <c r="L17" s="1418"/>
    </row>
  </sheetData>
  <mergeCells count="15">
    <mergeCell ref="A7:A8"/>
    <mergeCell ref="B7:B8"/>
    <mergeCell ref="A16:A17"/>
    <mergeCell ref="B16:B17"/>
    <mergeCell ref="A10:A11"/>
    <mergeCell ref="B10:B11"/>
    <mergeCell ref="A12:A13"/>
    <mergeCell ref="B12:B13"/>
    <mergeCell ref="A14:A15"/>
    <mergeCell ref="B14:B15"/>
    <mergeCell ref="A1:L1"/>
    <mergeCell ref="A2:A3"/>
    <mergeCell ref="B2:B3"/>
    <mergeCell ref="A4:A5"/>
    <mergeCell ref="B4:B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2"/>
  <sheetViews>
    <sheetView topLeftCell="C41" workbookViewId="0">
      <selection activeCell="H62" sqref="H62"/>
    </sheetView>
  </sheetViews>
  <sheetFormatPr defaultRowHeight="15" customHeight="1"/>
  <cols>
    <col min="1" max="1" width="9.140625" style="2"/>
    <col min="2" max="2" width="7.85546875" style="2" customWidth="1"/>
    <col min="3" max="3" width="20.28515625" style="2" customWidth="1"/>
    <col min="4" max="4" width="19.5703125" style="6" customWidth="1"/>
    <col min="5" max="5" width="14.42578125" style="6" bestFit="1" customWidth="1"/>
    <col min="6" max="6" width="14" style="6" bestFit="1" customWidth="1"/>
    <col min="7" max="7" width="14.85546875" style="6" bestFit="1" customWidth="1"/>
    <col min="8" max="9" width="13.5703125" style="6" bestFit="1" customWidth="1"/>
    <col min="10" max="10" width="14.42578125" style="6" bestFit="1" customWidth="1"/>
    <col min="11" max="11" width="15.28515625" style="6" bestFit="1" customWidth="1"/>
    <col min="12" max="12" width="14.28515625" style="6" bestFit="1" customWidth="1"/>
    <col min="13" max="13" width="9.42578125" style="6" customWidth="1"/>
    <col min="14" max="14" width="14.85546875" style="6" bestFit="1" customWidth="1"/>
    <col min="15" max="15" width="15.5703125" style="2" bestFit="1" customWidth="1"/>
    <col min="16" max="16" width="15.7109375" style="2" bestFit="1" customWidth="1"/>
    <col min="17" max="17" width="12.7109375" style="2" customWidth="1"/>
    <col min="18" max="18" width="9.140625" style="2"/>
    <col min="19" max="19" width="15.85546875" style="2" customWidth="1"/>
    <col min="20" max="20" width="13.7109375" style="2" customWidth="1"/>
    <col min="21" max="21" width="9.140625" style="2"/>
    <col min="22" max="22" width="14" style="2" customWidth="1"/>
    <col min="23" max="23" width="13.85546875" style="2" customWidth="1"/>
    <col min="24" max="24" width="17.42578125" style="2" customWidth="1"/>
    <col min="25" max="25" width="13" style="2" customWidth="1"/>
    <col min="26" max="26" width="9.140625" style="2"/>
    <col min="27" max="27" width="16.42578125" style="2" customWidth="1"/>
    <col min="28" max="16384" width="9.140625" style="2"/>
  </cols>
  <sheetData>
    <row r="1" spans="2:36" ht="15" hidden="1" customHeight="1">
      <c r="M1" s="2487" t="s">
        <v>1160</v>
      </c>
      <c r="N1" s="2487"/>
    </row>
    <row r="2" spans="2:36" s="8" customFormat="1" ht="23.25" hidden="1" customHeight="1">
      <c r="B2" s="2488" t="s">
        <v>297</v>
      </c>
      <c r="C2" s="2488"/>
      <c r="D2" s="2488"/>
      <c r="E2" s="2488"/>
      <c r="F2" s="2488"/>
      <c r="G2" s="2488"/>
      <c r="H2" s="2488"/>
      <c r="I2" s="2488"/>
      <c r="J2" s="2488"/>
      <c r="K2" s="2488"/>
      <c r="L2" s="2488"/>
      <c r="M2" s="2488"/>
      <c r="N2" s="2488"/>
    </row>
    <row r="3" spans="2:36" s="8" customFormat="1" ht="20.25" hidden="1" customHeight="1">
      <c r="B3" s="2488" t="s">
        <v>298</v>
      </c>
      <c r="C3" s="2488"/>
      <c r="D3" s="2488"/>
      <c r="E3" s="2488"/>
      <c r="F3" s="2488"/>
      <c r="G3" s="2488"/>
      <c r="H3" s="2488"/>
      <c r="I3" s="2488"/>
      <c r="J3" s="2488"/>
      <c r="K3" s="2488"/>
      <c r="L3" s="2488"/>
      <c r="M3" s="2488"/>
      <c r="N3" s="2488"/>
    </row>
    <row r="4" spans="2:36" ht="20.25" hidden="1" customHeight="1" thickBot="1">
      <c r="B4" s="2489" t="s">
        <v>299</v>
      </c>
      <c r="C4" s="2489"/>
      <c r="D4" s="2489"/>
      <c r="E4" s="2489"/>
      <c r="F4" s="2489"/>
      <c r="G4" s="2489"/>
      <c r="H4" s="2489"/>
      <c r="I4" s="2489"/>
      <c r="J4" s="2489"/>
      <c r="K4" s="2489"/>
      <c r="L4" s="2489"/>
      <c r="M4" s="2489"/>
      <c r="N4" s="2489"/>
    </row>
    <row r="5" spans="2:36" s="8" customFormat="1" ht="15" hidden="1" customHeight="1">
      <c r="B5" s="2634" t="s">
        <v>349</v>
      </c>
      <c r="C5" s="2637" t="s">
        <v>331</v>
      </c>
      <c r="D5" s="2639" t="s">
        <v>1161</v>
      </c>
      <c r="E5" s="2639"/>
      <c r="F5" s="2639"/>
      <c r="G5" s="2639"/>
      <c r="H5" s="2639"/>
      <c r="I5" s="2639"/>
      <c r="J5" s="2639"/>
      <c r="K5" s="2639"/>
      <c r="L5" s="2639"/>
      <c r="M5" s="2639"/>
      <c r="N5" s="2640"/>
      <c r="O5" s="2617" t="s">
        <v>1162</v>
      </c>
      <c r="P5" s="2618"/>
      <c r="Q5" s="2618"/>
      <c r="R5" s="2618"/>
      <c r="S5" s="2618"/>
      <c r="T5" s="2618"/>
      <c r="U5" s="2618"/>
      <c r="V5" s="2618"/>
      <c r="W5" s="2618"/>
      <c r="X5" s="2618"/>
      <c r="Y5" s="2619"/>
      <c r="Z5" s="2617" t="s">
        <v>350</v>
      </c>
      <c r="AA5" s="2618"/>
      <c r="AB5" s="2618"/>
      <c r="AC5" s="2618"/>
      <c r="AD5" s="2618"/>
      <c r="AE5" s="2618"/>
      <c r="AF5" s="2618"/>
      <c r="AG5" s="2618"/>
      <c r="AH5" s="2618"/>
      <c r="AI5" s="2618"/>
      <c r="AJ5" s="2619"/>
    </row>
    <row r="6" spans="2:36" s="8" customFormat="1" ht="15" hidden="1" customHeight="1">
      <c r="B6" s="2635"/>
      <c r="C6" s="2638"/>
      <c r="D6" s="2620" t="s">
        <v>1163</v>
      </c>
      <c r="E6" s="2620"/>
      <c r="F6" s="2620"/>
      <c r="G6" s="2620"/>
      <c r="H6" s="2620"/>
      <c r="I6" s="2620"/>
      <c r="J6" s="2620"/>
      <c r="K6" s="2620"/>
      <c r="L6" s="2620"/>
      <c r="M6" s="2620"/>
      <c r="N6" s="2621"/>
      <c r="O6" s="2622" t="s">
        <v>341</v>
      </c>
      <c r="P6" s="2623"/>
      <c r="Q6" s="2623"/>
      <c r="R6" s="2623"/>
      <c r="S6" s="2623"/>
      <c r="T6" s="2623"/>
      <c r="U6" s="2623"/>
      <c r="V6" s="2623"/>
      <c r="W6" s="2623"/>
      <c r="X6" s="2623"/>
      <c r="Y6" s="2624"/>
      <c r="Z6" s="2622" t="s">
        <v>342</v>
      </c>
      <c r="AA6" s="2623"/>
      <c r="AB6" s="2623"/>
      <c r="AC6" s="2623"/>
      <c r="AD6" s="2623"/>
      <c r="AE6" s="2623"/>
      <c r="AF6" s="2623"/>
      <c r="AG6" s="2623"/>
      <c r="AH6" s="2623"/>
      <c r="AI6" s="2623"/>
      <c r="AJ6" s="2624"/>
    </row>
    <row r="7" spans="2:36" s="8" customFormat="1" ht="15" hidden="1" customHeight="1" thickBot="1">
      <c r="B7" s="2635"/>
      <c r="C7" s="2638"/>
      <c r="D7" s="2625" t="s">
        <v>1164</v>
      </c>
      <c r="E7" s="2625"/>
      <c r="F7" s="2625"/>
      <c r="G7" s="2625"/>
      <c r="H7" s="2625" t="s">
        <v>1165</v>
      </c>
      <c r="I7" s="2625"/>
      <c r="J7" s="2625"/>
      <c r="K7" s="2625"/>
      <c r="L7" s="2625"/>
      <c r="M7" s="2626" t="s">
        <v>1166</v>
      </c>
      <c r="N7" s="2627"/>
      <c r="O7" s="2628" t="s">
        <v>1164</v>
      </c>
      <c r="P7" s="2625"/>
      <c r="Q7" s="2625"/>
      <c r="R7" s="2625"/>
      <c r="S7" s="2629" t="s">
        <v>1165</v>
      </c>
      <c r="T7" s="2630"/>
      <c r="U7" s="2630"/>
      <c r="V7" s="2630"/>
      <c r="W7" s="2631"/>
      <c r="X7" s="2632" t="s">
        <v>1166</v>
      </c>
      <c r="Y7" s="2633"/>
      <c r="Z7" s="2628" t="s">
        <v>1164</v>
      </c>
      <c r="AA7" s="2625"/>
      <c r="AB7" s="2625"/>
      <c r="AC7" s="2625"/>
      <c r="AD7" s="2629" t="s">
        <v>1165</v>
      </c>
      <c r="AE7" s="2630"/>
      <c r="AF7" s="2630"/>
      <c r="AG7" s="2630"/>
      <c r="AH7" s="2631"/>
      <c r="AI7" s="2632" t="s">
        <v>1166</v>
      </c>
      <c r="AJ7" s="2633"/>
    </row>
    <row r="8" spans="2:36" s="8" customFormat="1" ht="43.5" hidden="1" customHeight="1" thickBot="1">
      <c r="B8" s="2636"/>
      <c r="C8" s="2632"/>
      <c r="D8" s="360" t="s">
        <v>1167</v>
      </c>
      <c r="E8" s="360" t="s">
        <v>1168</v>
      </c>
      <c r="F8" s="360" t="s">
        <v>1169</v>
      </c>
      <c r="G8" s="360" t="s">
        <v>1170</v>
      </c>
      <c r="H8" s="360" t="s">
        <v>1171</v>
      </c>
      <c r="I8" s="360" t="s">
        <v>1167</v>
      </c>
      <c r="J8" s="360" t="s">
        <v>1168</v>
      </c>
      <c r="K8" s="360" t="s">
        <v>1169</v>
      </c>
      <c r="L8" s="360" t="s">
        <v>1170</v>
      </c>
      <c r="M8" s="360" t="s">
        <v>1172</v>
      </c>
      <c r="N8" s="361" t="s">
        <v>1173</v>
      </c>
      <c r="O8" s="362" t="s">
        <v>1167</v>
      </c>
      <c r="P8" s="363" t="s">
        <v>1168</v>
      </c>
      <c r="Q8" s="363" t="s">
        <v>1169</v>
      </c>
      <c r="R8" s="363" t="s">
        <v>1170</v>
      </c>
      <c r="S8" s="363" t="s">
        <v>1171</v>
      </c>
      <c r="T8" s="363" t="s">
        <v>1167</v>
      </c>
      <c r="U8" s="363" t="s">
        <v>1168</v>
      </c>
      <c r="V8" s="363" t="s">
        <v>1169</v>
      </c>
      <c r="W8" s="363" t="s">
        <v>1170</v>
      </c>
      <c r="X8" s="363" t="s">
        <v>1172</v>
      </c>
      <c r="Y8" s="364" t="s">
        <v>1173</v>
      </c>
      <c r="Z8" s="362" t="s">
        <v>1167</v>
      </c>
      <c r="AA8" s="363" t="s">
        <v>1168</v>
      </c>
      <c r="AB8" s="363" t="s">
        <v>1169</v>
      </c>
      <c r="AC8" s="363" t="s">
        <v>1170</v>
      </c>
      <c r="AD8" s="363" t="s">
        <v>1171</v>
      </c>
      <c r="AE8" s="363" t="s">
        <v>1167</v>
      </c>
      <c r="AF8" s="363" t="s">
        <v>1168</v>
      </c>
      <c r="AG8" s="363" t="s">
        <v>1169</v>
      </c>
      <c r="AH8" s="363" t="s">
        <v>1170</v>
      </c>
      <c r="AI8" s="363" t="s">
        <v>1172</v>
      </c>
      <c r="AJ8" s="364" t="s">
        <v>1173</v>
      </c>
    </row>
    <row r="9" spans="2:36" ht="31.5" hidden="1" customHeight="1">
      <c r="B9" s="365">
        <v>1</v>
      </c>
      <c r="C9" s="366" t="s">
        <v>1174</v>
      </c>
      <c r="D9" s="367">
        <v>5676989991</v>
      </c>
      <c r="E9" s="368">
        <v>17920263</v>
      </c>
      <c r="F9" s="369">
        <v>0</v>
      </c>
      <c r="G9" s="370">
        <v>5694910254</v>
      </c>
      <c r="H9" s="369"/>
      <c r="I9" s="369"/>
      <c r="J9" s="370">
        <v>-8309</v>
      </c>
      <c r="K9" s="369">
        <v>0</v>
      </c>
      <c r="L9" s="369"/>
      <c r="M9" s="369"/>
      <c r="N9" s="371"/>
      <c r="O9" s="372"/>
      <c r="P9" s="373">
        <v>3183628</v>
      </c>
      <c r="Q9" s="374"/>
      <c r="R9" s="375"/>
      <c r="S9" s="375"/>
      <c r="T9" s="375"/>
      <c r="U9" s="375"/>
      <c r="V9" s="374"/>
      <c r="W9" s="375"/>
      <c r="X9" s="375"/>
      <c r="Y9" s="376"/>
      <c r="Z9" s="372"/>
      <c r="AA9" s="377"/>
      <c r="AB9" s="374"/>
      <c r="AC9" s="375"/>
      <c r="AD9" s="375"/>
      <c r="AE9" s="375"/>
      <c r="AF9" s="375"/>
      <c r="AG9" s="374"/>
      <c r="AH9" s="375"/>
      <c r="AI9" s="375"/>
      <c r="AJ9" s="376"/>
    </row>
    <row r="10" spans="2:36" ht="31.5" hidden="1" customHeight="1">
      <c r="B10" s="378">
        <v>2</v>
      </c>
      <c r="C10" s="379" t="s">
        <v>1175</v>
      </c>
      <c r="D10" s="367">
        <f>13342675792+43566366523+756845533</f>
        <v>57665887848</v>
      </c>
      <c r="E10" s="368">
        <f>3478428544+377667644+4522700</f>
        <v>3860618888</v>
      </c>
      <c r="F10" s="369">
        <v>0</v>
      </c>
      <c r="G10" s="370">
        <f>16821104336+43944034167+761368233</f>
        <v>61526506736</v>
      </c>
      <c r="H10" s="369"/>
      <c r="I10" s="369"/>
      <c r="J10" s="370">
        <f>466009689+913404319+29207867</f>
        <v>1408621875</v>
      </c>
      <c r="K10" s="369">
        <v>0</v>
      </c>
      <c r="L10" s="369"/>
      <c r="M10" s="369"/>
      <c r="N10" s="371"/>
      <c r="O10" s="380"/>
      <c r="P10" s="381">
        <v>308603</v>
      </c>
      <c r="Q10" s="382"/>
      <c r="R10" s="383"/>
      <c r="S10" s="383"/>
      <c r="T10" s="383"/>
      <c r="U10" s="383"/>
      <c r="V10" s="382"/>
      <c r="W10" s="383"/>
      <c r="X10" s="383"/>
      <c r="Y10" s="371"/>
      <c r="Z10" s="380"/>
      <c r="AA10" s="384"/>
      <c r="AB10" s="382"/>
      <c r="AC10" s="383"/>
      <c r="AD10" s="383"/>
      <c r="AE10" s="383"/>
      <c r="AF10" s="383"/>
      <c r="AG10" s="382"/>
      <c r="AH10" s="383"/>
      <c r="AI10" s="383"/>
      <c r="AJ10" s="371"/>
    </row>
    <row r="11" spans="2:36" ht="31.5" hidden="1" customHeight="1">
      <c r="B11" s="378">
        <v>3</v>
      </c>
      <c r="C11" s="379" t="s">
        <v>1176</v>
      </c>
      <c r="D11" s="367">
        <v>76217653029</v>
      </c>
      <c r="E11" s="368">
        <v>12232013173</v>
      </c>
      <c r="F11" s="369">
        <v>0</v>
      </c>
      <c r="G11" s="370">
        <v>88449666202</v>
      </c>
      <c r="H11" s="369"/>
      <c r="I11" s="369"/>
      <c r="J11" s="370">
        <v>4176262315</v>
      </c>
      <c r="K11" s="369">
        <v>0</v>
      </c>
      <c r="L11" s="369"/>
      <c r="M11" s="369"/>
      <c r="N11" s="371"/>
      <c r="O11" s="380"/>
      <c r="P11" s="381">
        <v>-82705354</v>
      </c>
      <c r="Q11" s="382"/>
      <c r="R11" s="383"/>
      <c r="S11" s="383"/>
      <c r="T11" s="383"/>
      <c r="U11" s="383"/>
      <c r="V11" s="382"/>
      <c r="W11" s="383"/>
      <c r="X11" s="383"/>
      <c r="Y11" s="371"/>
      <c r="Z11" s="380"/>
      <c r="AA11" s="384"/>
      <c r="AB11" s="382"/>
      <c r="AC11" s="383"/>
      <c r="AD11" s="383"/>
      <c r="AE11" s="383"/>
      <c r="AF11" s="383"/>
      <c r="AG11" s="382"/>
      <c r="AH11" s="383"/>
      <c r="AI11" s="383"/>
      <c r="AJ11" s="371"/>
    </row>
    <row r="12" spans="2:36" ht="31.5" hidden="1" customHeight="1">
      <c r="B12" s="385">
        <v>4</v>
      </c>
      <c r="C12" s="386" t="s">
        <v>1177</v>
      </c>
      <c r="D12" s="367">
        <v>43451670349</v>
      </c>
      <c r="E12" s="368">
        <v>3925791895</v>
      </c>
      <c r="F12" s="369">
        <v>0</v>
      </c>
      <c r="G12" s="370">
        <v>47377462244</v>
      </c>
      <c r="H12" s="369"/>
      <c r="I12" s="369"/>
      <c r="J12" s="370">
        <v>2316499005</v>
      </c>
      <c r="K12" s="369">
        <v>0</v>
      </c>
      <c r="L12" s="369"/>
      <c r="M12" s="369"/>
      <c r="N12" s="371"/>
      <c r="O12" s="380"/>
      <c r="P12" s="381">
        <v>-309270084</v>
      </c>
      <c r="Q12" s="382"/>
      <c r="R12" s="383"/>
      <c r="S12" s="383"/>
      <c r="T12" s="383"/>
      <c r="U12" s="383"/>
      <c r="V12" s="382"/>
      <c r="W12" s="383"/>
      <c r="X12" s="383"/>
      <c r="Y12" s="371"/>
      <c r="Z12" s="380"/>
      <c r="AA12" s="384"/>
      <c r="AB12" s="382"/>
      <c r="AC12" s="383"/>
      <c r="AD12" s="383"/>
      <c r="AE12" s="383"/>
      <c r="AF12" s="383"/>
      <c r="AG12" s="382"/>
      <c r="AH12" s="383"/>
      <c r="AI12" s="383"/>
      <c r="AJ12" s="371"/>
    </row>
    <row r="13" spans="2:36" ht="31.5" hidden="1" customHeight="1">
      <c r="B13" s="378">
        <v>5</v>
      </c>
      <c r="C13" s="379" t="s">
        <v>1178</v>
      </c>
      <c r="D13" s="367">
        <v>0</v>
      </c>
      <c r="E13" s="368">
        <v>0</v>
      </c>
      <c r="F13" s="369">
        <v>0</v>
      </c>
      <c r="G13" s="370">
        <v>0</v>
      </c>
      <c r="H13" s="369">
        <v>0</v>
      </c>
      <c r="I13" s="369">
        <v>0</v>
      </c>
      <c r="J13" s="370">
        <v>0</v>
      </c>
      <c r="K13" s="369">
        <v>0</v>
      </c>
      <c r="L13" s="369"/>
      <c r="M13" s="369"/>
      <c r="N13" s="371"/>
      <c r="O13" s="380"/>
      <c r="P13" s="381">
        <v>0</v>
      </c>
      <c r="Q13" s="382"/>
      <c r="R13" s="383"/>
      <c r="S13" s="387"/>
      <c r="T13" s="383"/>
      <c r="U13" s="383"/>
      <c r="V13" s="382"/>
      <c r="W13" s="383"/>
      <c r="X13" s="383"/>
      <c r="Y13" s="371"/>
      <c r="Z13" s="380"/>
      <c r="AA13" s="384"/>
      <c r="AB13" s="382"/>
      <c r="AC13" s="383"/>
      <c r="AD13" s="387"/>
      <c r="AE13" s="383"/>
      <c r="AF13" s="383"/>
      <c r="AG13" s="382"/>
      <c r="AH13" s="383"/>
      <c r="AI13" s="383"/>
      <c r="AJ13" s="371"/>
    </row>
    <row r="14" spans="2:36" ht="31.5" hidden="1" customHeight="1">
      <c r="B14" s="378">
        <v>6</v>
      </c>
      <c r="C14" s="379" t="s">
        <v>1179</v>
      </c>
      <c r="D14" s="367">
        <v>0</v>
      </c>
      <c r="E14" s="368">
        <v>0</v>
      </c>
      <c r="F14" s="369">
        <v>0</v>
      </c>
      <c r="G14" s="370">
        <v>0</v>
      </c>
      <c r="H14" s="369">
        <v>0</v>
      </c>
      <c r="I14" s="369">
        <v>0</v>
      </c>
      <c r="J14" s="370">
        <v>0</v>
      </c>
      <c r="K14" s="369">
        <v>0</v>
      </c>
      <c r="L14" s="369"/>
      <c r="M14" s="369"/>
      <c r="N14" s="371"/>
      <c r="O14" s="380"/>
      <c r="P14" s="381">
        <v>0</v>
      </c>
      <c r="Q14" s="382"/>
      <c r="R14" s="383"/>
      <c r="S14" s="387"/>
      <c r="T14" s="383"/>
      <c r="U14" s="383"/>
      <c r="V14" s="382"/>
      <c r="W14" s="383"/>
      <c r="X14" s="383"/>
      <c r="Y14" s="371"/>
      <c r="Z14" s="380"/>
      <c r="AA14" s="384"/>
      <c r="AB14" s="382"/>
      <c r="AC14" s="383"/>
      <c r="AD14" s="387"/>
      <c r="AE14" s="383"/>
      <c r="AF14" s="383"/>
      <c r="AG14" s="382"/>
      <c r="AH14" s="383"/>
      <c r="AI14" s="383"/>
      <c r="AJ14" s="371"/>
    </row>
    <row r="15" spans="2:36" ht="31.5" hidden="1" customHeight="1">
      <c r="B15" s="378">
        <v>7</v>
      </c>
      <c r="C15" s="379" t="s">
        <v>300</v>
      </c>
      <c r="D15" s="367">
        <v>534186882</v>
      </c>
      <c r="E15" s="368">
        <v>9179080</v>
      </c>
      <c r="F15" s="369">
        <v>0</v>
      </c>
      <c r="G15" s="370">
        <v>543365962</v>
      </c>
      <c r="H15" s="369"/>
      <c r="I15" s="369"/>
      <c r="J15" s="370">
        <v>-18275896</v>
      </c>
      <c r="K15" s="369">
        <v>0</v>
      </c>
      <c r="L15" s="369"/>
      <c r="M15" s="369"/>
      <c r="N15" s="371"/>
      <c r="O15" s="380"/>
      <c r="P15" s="381">
        <v>0</v>
      </c>
      <c r="Q15" s="382"/>
      <c r="R15" s="383"/>
      <c r="S15" s="383"/>
      <c r="T15" s="383"/>
      <c r="U15" s="383"/>
      <c r="V15" s="382"/>
      <c r="W15" s="383"/>
      <c r="X15" s="383"/>
      <c r="Y15" s="371"/>
      <c r="Z15" s="380"/>
      <c r="AA15" s="384"/>
      <c r="AB15" s="382"/>
      <c r="AC15" s="383"/>
      <c r="AD15" s="383"/>
      <c r="AE15" s="383"/>
      <c r="AF15" s="383"/>
      <c r="AG15" s="382"/>
      <c r="AH15" s="383"/>
      <c r="AI15" s="383"/>
      <c r="AJ15" s="371"/>
    </row>
    <row r="16" spans="2:36" ht="31.5" hidden="1" customHeight="1">
      <c r="B16" s="378">
        <v>8</v>
      </c>
      <c r="C16" s="379" t="s">
        <v>1180</v>
      </c>
      <c r="D16" s="367">
        <v>167180493</v>
      </c>
      <c r="E16" s="368">
        <v>6842853</v>
      </c>
      <c r="F16" s="369">
        <v>0</v>
      </c>
      <c r="G16" s="370">
        <v>174023346</v>
      </c>
      <c r="H16" s="369"/>
      <c r="I16" s="369"/>
      <c r="J16" s="370">
        <v>8199012</v>
      </c>
      <c r="K16" s="369">
        <v>0</v>
      </c>
      <c r="L16" s="369"/>
      <c r="M16" s="369"/>
      <c r="N16" s="371"/>
      <c r="O16" s="380"/>
      <c r="P16" s="381">
        <v>83509</v>
      </c>
      <c r="Q16" s="382"/>
      <c r="R16" s="383"/>
      <c r="S16" s="383"/>
      <c r="T16" s="383"/>
      <c r="U16" s="383"/>
      <c r="V16" s="382"/>
      <c r="W16" s="383"/>
      <c r="X16" s="383"/>
      <c r="Y16" s="371"/>
      <c r="Z16" s="380"/>
      <c r="AA16" s="384"/>
      <c r="AB16" s="382"/>
      <c r="AC16" s="383"/>
      <c r="AD16" s="383"/>
      <c r="AE16" s="383"/>
      <c r="AF16" s="383"/>
      <c r="AG16" s="382"/>
      <c r="AH16" s="383"/>
      <c r="AI16" s="383"/>
      <c r="AJ16" s="371"/>
    </row>
    <row r="17" spans="2:36" ht="31.5" hidden="1" customHeight="1">
      <c r="B17" s="388">
        <v>9</v>
      </c>
      <c r="C17" s="389" t="s">
        <v>1181</v>
      </c>
      <c r="D17" s="367">
        <v>336105569</v>
      </c>
      <c r="E17" s="368">
        <v>47072322</v>
      </c>
      <c r="F17" s="369">
        <v>0</v>
      </c>
      <c r="G17" s="370">
        <v>383177891</v>
      </c>
      <c r="H17" s="369"/>
      <c r="I17" s="369"/>
      <c r="J17" s="370">
        <v>21547256</v>
      </c>
      <c r="K17" s="369">
        <v>0</v>
      </c>
      <c r="L17" s="369"/>
      <c r="M17" s="369"/>
      <c r="N17" s="371"/>
      <c r="O17" s="380"/>
      <c r="P17" s="381">
        <v>0</v>
      </c>
      <c r="Q17" s="382"/>
      <c r="R17" s="383"/>
      <c r="S17" s="383"/>
      <c r="T17" s="383"/>
      <c r="U17" s="390">
        <v>80271</v>
      </c>
      <c r="V17" s="382"/>
      <c r="W17" s="383"/>
      <c r="X17" s="383"/>
      <c r="Y17" s="371"/>
      <c r="Z17" s="380"/>
      <c r="AA17" s="384"/>
      <c r="AB17" s="382"/>
      <c r="AC17" s="383"/>
      <c r="AD17" s="383"/>
      <c r="AE17" s="383"/>
      <c r="AF17" s="383"/>
      <c r="AG17" s="382"/>
      <c r="AH17" s="383"/>
      <c r="AI17" s="383"/>
      <c r="AJ17" s="371"/>
    </row>
    <row r="18" spans="2:36" ht="31.5" hidden="1" customHeight="1" thickBot="1">
      <c r="B18" s="391">
        <v>10</v>
      </c>
      <c r="C18" s="392" t="s">
        <v>1182</v>
      </c>
      <c r="D18" s="393">
        <f t="shared" ref="D18:O18" si="0">SUM(D9:D17)</f>
        <v>184049674161</v>
      </c>
      <c r="E18" s="393">
        <f t="shared" si="0"/>
        <v>20099438474</v>
      </c>
      <c r="F18" s="393">
        <f t="shared" si="0"/>
        <v>0</v>
      </c>
      <c r="G18" s="393">
        <f t="shared" si="0"/>
        <v>204149112635</v>
      </c>
      <c r="H18" s="393">
        <f t="shared" si="0"/>
        <v>0</v>
      </c>
      <c r="I18" s="393">
        <v>80826743456</v>
      </c>
      <c r="J18" s="393">
        <f t="shared" si="0"/>
        <v>7912845258</v>
      </c>
      <c r="K18" s="393">
        <f t="shared" si="0"/>
        <v>0</v>
      </c>
      <c r="L18" s="393">
        <v>88739588714</v>
      </c>
      <c r="M18" s="393">
        <v>103222930705</v>
      </c>
      <c r="N18" s="394">
        <v>115409523921</v>
      </c>
      <c r="O18" s="395">
        <f t="shared" si="0"/>
        <v>0</v>
      </c>
      <c r="P18" s="396">
        <f>SUM(P9:P17)</f>
        <v>-388399698</v>
      </c>
      <c r="Q18" s="396"/>
      <c r="R18" s="396"/>
      <c r="S18" s="396"/>
      <c r="T18" s="396"/>
      <c r="U18" s="396">
        <f>SUM(U9:U17)</f>
        <v>80271</v>
      </c>
      <c r="V18" s="397"/>
      <c r="W18" s="397"/>
      <c r="X18" s="397"/>
      <c r="Y18" s="398"/>
      <c r="Z18" s="399"/>
      <c r="AA18" s="397"/>
      <c r="AB18" s="397"/>
      <c r="AC18" s="397"/>
      <c r="AD18" s="397"/>
      <c r="AE18" s="397"/>
      <c r="AF18" s="397"/>
      <c r="AG18" s="397"/>
      <c r="AH18" s="397"/>
      <c r="AI18" s="397"/>
      <c r="AJ18" s="398"/>
    </row>
    <row r="19" spans="2:36" ht="15" hidden="1" customHeight="1">
      <c r="B19" s="2" t="s">
        <v>1183</v>
      </c>
      <c r="C19" s="2" t="s">
        <v>1184</v>
      </c>
    </row>
    <row r="20" spans="2:36" ht="32.25" hidden="1" customHeight="1">
      <c r="C20" s="2504" t="s">
        <v>1185</v>
      </c>
      <c r="D20" s="2504"/>
      <c r="E20" s="2504"/>
      <c r="F20" s="2504"/>
      <c r="G20" s="2504"/>
      <c r="H20" s="2504"/>
      <c r="I20" s="2504"/>
      <c r="J20" s="2504"/>
      <c r="K20" s="2504"/>
      <c r="L20" s="2504"/>
      <c r="M20" s="2504"/>
      <c r="N20" s="2504"/>
    </row>
    <row r="21" spans="2:36" ht="15" hidden="1" customHeight="1">
      <c r="B21" s="2616" t="s">
        <v>1186</v>
      </c>
      <c r="C21" s="2616"/>
      <c r="D21" s="2616"/>
      <c r="E21" s="2616"/>
      <c r="F21" s="2616"/>
      <c r="G21" s="2616"/>
      <c r="H21" s="2616"/>
      <c r="I21" s="2616"/>
      <c r="J21" s="2616"/>
      <c r="K21" s="2616"/>
      <c r="L21" s="2616"/>
      <c r="M21" s="2616"/>
      <c r="N21" s="2616"/>
      <c r="O21" s="2616"/>
      <c r="P21" s="2616"/>
    </row>
    <row r="22" spans="2:36" ht="15" hidden="1" customHeight="1">
      <c r="B22" s="400"/>
      <c r="C22" s="401"/>
      <c r="D22" s="402"/>
      <c r="E22" s="403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</row>
    <row r="23" spans="2:36" ht="15" hidden="1" customHeight="1">
      <c r="B23" s="2600" t="s">
        <v>1187</v>
      </c>
      <c r="C23" s="2600"/>
      <c r="D23" s="2600"/>
      <c r="E23" s="2600"/>
      <c r="F23" s="2600"/>
      <c r="G23" s="2600"/>
      <c r="H23" s="2600"/>
      <c r="I23" s="2600"/>
      <c r="J23" s="2600"/>
      <c r="K23" s="2600"/>
      <c r="L23" s="2600"/>
      <c r="M23" s="2600"/>
      <c r="N23" s="2600"/>
      <c r="O23" s="2600"/>
      <c r="P23" s="404" t="s">
        <v>1188</v>
      </c>
    </row>
    <row r="24" spans="2:36" ht="15" hidden="1" customHeight="1" thickBot="1">
      <c r="B24" s="405"/>
      <c r="C24" s="401"/>
      <c r="D24" s="402"/>
      <c r="E24" s="401"/>
      <c r="F24" s="401"/>
      <c r="G24" s="401"/>
      <c r="H24" s="401"/>
      <c r="I24" s="401"/>
      <c r="J24" s="401"/>
      <c r="K24" s="401"/>
      <c r="L24" s="401"/>
      <c r="M24" s="401"/>
      <c r="N24" s="2601" t="s">
        <v>1189</v>
      </c>
      <c r="O24" s="2601"/>
      <c r="P24" s="2601"/>
    </row>
    <row r="25" spans="2:36" ht="15" hidden="1" customHeight="1" thickBot="1">
      <c r="B25" s="405"/>
      <c r="C25" s="401"/>
      <c r="D25" s="2602" t="s">
        <v>1190</v>
      </c>
      <c r="E25" s="2603"/>
      <c r="F25" s="2603"/>
      <c r="G25" s="2603"/>
      <c r="H25" s="2604"/>
      <c r="I25" s="401"/>
      <c r="J25" s="2605" t="s">
        <v>1191</v>
      </c>
      <c r="K25" s="2606"/>
      <c r="L25" s="2606"/>
      <c r="M25" s="2606"/>
      <c r="N25" s="2607"/>
      <c r="O25" s="2608" t="s">
        <v>1192</v>
      </c>
      <c r="P25" s="2609"/>
    </row>
    <row r="26" spans="2:36" ht="15" hidden="1" customHeight="1" thickBot="1">
      <c r="B26" s="2610" t="str">
        <f>D28</f>
        <v>Prev. Yr. 08-09</v>
      </c>
      <c r="C26" s="2610"/>
      <c r="D26" s="402"/>
      <c r="E26" s="401"/>
      <c r="F26" s="401"/>
      <c r="G26" s="401"/>
      <c r="H26" s="401"/>
      <c r="I26" s="401"/>
      <c r="J26" s="401"/>
      <c r="K26" s="406"/>
      <c r="L26" s="406"/>
      <c r="M26" s="406"/>
      <c r="N26" s="406"/>
      <c r="O26" s="401"/>
      <c r="P26" s="401"/>
    </row>
    <row r="27" spans="2:36" ht="15" hidden="1" customHeight="1">
      <c r="B27" s="407" t="s">
        <v>1193</v>
      </c>
      <c r="C27" s="408" t="s">
        <v>1194</v>
      </c>
      <c r="D27" s="407" t="s">
        <v>1195</v>
      </c>
      <c r="E27" s="408" t="s">
        <v>397</v>
      </c>
      <c r="F27" s="409" t="s">
        <v>1196</v>
      </c>
      <c r="G27" s="409" t="s">
        <v>1197</v>
      </c>
      <c r="H27" s="408" t="s">
        <v>1195</v>
      </c>
      <c r="I27" s="407" t="s">
        <v>1193</v>
      </c>
      <c r="J27" s="408" t="s">
        <v>1195</v>
      </c>
      <c r="K27" s="408" t="s">
        <v>1198</v>
      </c>
      <c r="L27" s="408" t="s">
        <v>1199</v>
      </c>
      <c r="M27" s="409" t="s">
        <v>1200</v>
      </c>
      <c r="N27" s="408" t="s">
        <v>1201</v>
      </c>
      <c r="O27" s="408" t="s">
        <v>1195</v>
      </c>
      <c r="P27" s="408" t="s">
        <v>1195</v>
      </c>
    </row>
    <row r="28" spans="2:36" ht="15" hidden="1" customHeight="1" thickBot="1">
      <c r="B28" s="410"/>
      <c r="C28" s="411"/>
      <c r="D28" s="410" t="s">
        <v>1202</v>
      </c>
      <c r="E28" s="411">
        <v>0</v>
      </c>
      <c r="F28" s="411">
        <v>0</v>
      </c>
      <c r="G28" s="411">
        <v>0</v>
      </c>
      <c r="H28" s="411">
        <v>0</v>
      </c>
      <c r="I28" s="410"/>
      <c r="J28" s="410">
        <v>0</v>
      </c>
      <c r="K28" s="411">
        <v>0</v>
      </c>
      <c r="L28" s="411">
        <v>0</v>
      </c>
      <c r="M28" s="411">
        <v>0</v>
      </c>
      <c r="N28" s="411">
        <v>0</v>
      </c>
      <c r="O28" s="411">
        <v>0</v>
      </c>
      <c r="P28" s="411">
        <v>0</v>
      </c>
    </row>
    <row r="29" spans="2:36" ht="15" hidden="1" customHeight="1" thickBot="1">
      <c r="B29" s="412">
        <v>1</v>
      </c>
      <c r="C29" s="413" t="s">
        <v>1203</v>
      </c>
      <c r="D29" s="414" t="s">
        <v>1204</v>
      </c>
      <c r="E29" s="414" t="s">
        <v>1204</v>
      </c>
      <c r="F29" s="414" t="s">
        <v>1204</v>
      </c>
      <c r="G29" s="414" t="s">
        <v>1204</v>
      </c>
      <c r="H29" s="414" t="s">
        <v>1204</v>
      </c>
      <c r="I29" s="415">
        <v>1</v>
      </c>
      <c r="J29" s="414" t="s">
        <v>1204</v>
      </c>
      <c r="K29" s="414" t="s">
        <v>1204</v>
      </c>
      <c r="L29" s="416" t="s">
        <v>1204</v>
      </c>
      <c r="M29" s="414" t="s">
        <v>1204</v>
      </c>
      <c r="N29" s="414" t="s">
        <v>1204</v>
      </c>
      <c r="O29" s="414" t="s">
        <v>1204</v>
      </c>
      <c r="P29" s="417" t="s">
        <v>1204</v>
      </c>
    </row>
    <row r="30" spans="2:36" ht="15" hidden="1" customHeight="1">
      <c r="B30" s="418" t="s">
        <v>1205</v>
      </c>
      <c r="C30" s="419" t="s">
        <v>1206</v>
      </c>
      <c r="D30" s="420">
        <v>43191900069</v>
      </c>
      <c r="E30" s="421">
        <f>13598634014+45423201</f>
        <v>13644057215</v>
      </c>
      <c r="F30" s="421"/>
      <c r="G30" s="421"/>
      <c r="H30" s="421">
        <f>D30+E30-F30-G30</f>
        <v>56835957284</v>
      </c>
      <c r="I30" s="422" t="s">
        <v>1207</v>
      </c>
      <c r="J30" s="423">
        <v>23290778745</v>
      </c>
      <c r="K30" s="424">
        <v>2305146041</v>
      </c>
      <c r="L30" s="425">
        <v>0</v>
      </c>
      <c r="M30" s="424"/>
      <c r="N30" s="426">
        <f>J30+K30-L30</f>
        <v>25595924786</v>
      </c>
      <c r="O30" s="421">
        <f>H30-N30</f>
        <v>31240032498</v>
      </c>
      <c r="P30" s="427">
        <f>D30-J30</f>
        <v>19901121324</v>
      </c>
    </row>
    <row r="31" spans="2:36" ht="15" hidden="1" customHeight="1">
      <c r="B31" s="428" t="s">
        <v>1208</v>
      </c>
      <c r="C31" s="429" t="s">
        <v>1209</v>
      </c>
      <c r="D31" s="430">
        <v>59574388927</v>
      </c>
      <c r="E31" s="431">
        <f>278333285-27298</f>
        <v>278305987</v>
      </c>
      <c r="F31" s="431"/>
      <c r="G31" s="431"/>
      <c r="H31" s="431">
        <f>D31+E31-F31-G31</f>
        <v>59852694914</v>
      </c>
      <c r="I31" s="432" t="s">
        <v>1210</v>
      </c>
      <c r="J31" s="433">
        <v>15683700040</v>
      </c>
      <c r="K31" s="434">
        <v>1363298006</v>
      </c>
      <c r="L31" s="434">
        <v>12252401</v>
      </c>
      <c r="M31" s="434"/>
      <c r="N31" s="434">
        <f t="shared" ref="N31:N36" si="1">J31+K31-L31</f>
        <v>17034745645</v>
      </c>
      <c r="O31" s="431">
        <f t="shared" ref="O31:O36" si="2">H31-N31</f>
        <v>42817949269</v>
      </c>
      <c r="P31" s="435">
        <f t="shared" ref="P31:P36" si="3">D31-J31</f>
        <v>43890688887</v>
      </c>
    </row>
    <row r="32" spans="2:36" ht="15" hidden="1" customHeight="1" thickBot="1">
      <c r="B32" s="436" t="s">
        <v>1211</v>
      </c>
      <c r="C32" s="437" t="s">
        <v>1212</v>
      </c>
      <c r="D32" s="438">
        <v>26822284</v>
      </c>
      <c r="E32" s="439">
        <v>0</v>
      </c>
      <c r="F32" s="439"/>
      <c r="G32" s="439"/>
      <c r="H32" s="439">
        <f>D32+E32-F32-G32</f>
        <v>26822284</v>
      </c>
      <c r="I32" s="440" t="s">
        <v>1213</v>
      </c>
      <c r="J32" s="441">
        <v>24140056</v>
      </c>
      <c r="K32" s="442"/>
      <c r="L32" s="442">
        <v>0</v>
      </c>
      <c r="M32" s="442">
        <v>0</v>
      </c>
      <c r="N32" s="442">
        <f t="shared" si="1"/>
        <v>24140056</v>
      </c>
      <c r="O32" s="439">
        <f t="shared" si="2"/>
        <v>2682228</v>
      </c>
      <c r="P32" s="443">
        <f t="shared" si="3"/>
        <v>2682228</v>
      </c>
    </row>
    <row r="33" spans="2:27" ht="15" hidden="1" customHeight="1">
      <c r="B33" s="444"/>
      <c r="C33" s="429" t="s">
        <v>1214</v>
      </c>
      <c r="D33" s="445">
        <f>D32+D31+D30</f>
        <v>102793111280</v>
      </c>
      <c r="E33" s="446">
        <f>SUM(E30:E32)</f>
        <v>13922363202</v>
      </c>
      <c r="F33" s="446">
        <f t="shared" ref="F33:P33" si="4">SUM(F30:F32)</f>
        <v>0</v>
      </c>
      <c r="G33" s="446">
        <f t="shared" si="4"/>
        <v>0</v>
      </c>
      <c r="H33" s="446">
        <f t="shared" si="4"/>
        <v>116715474482</v>
      </c>
      <c r="I33" s="447">
        <f t="shared" si="4"/>
        <v>0</v>
      </c>
      <c r="J33" s="447">
        <f>J32+J31+J30</f>
        <v>38998618841</v>
      </c>
      <c r="K33" s="447">
        <f t="shared" si="4"/>
        <v>3668444047</v>
      </c>
      <c r="L33" s="447">
        <f t="shared" si="4"/>
        <v>12252401</v>
      </c>
      <c r="M33" s="447">
        <f t="shared" si="4"/>
        <v>0</v>
      </c>
      <c r="N33" s="448">
        <f t="shared" si="4"/>
        <v>42654810487</v>
      </c>
      <c r="O33" s="446">
        <f t="shared" si="4"/>
        <v>74060663995</v>
      </c>
      <c r="P33" s="449">
        <f t="shared" si="4"/>
        <v>63794492439</v>
      </c>
    </row>
    <row r="34" spans="2:27" ht="15" hidden="1" customHeight="1">
      <c r="B34" s="444">
        <v>2</v>
      </c>
      <c r="C34" s="450" t="s">
        <v>302</v>
      </c>
      <c r="D34" s="430">
        <v>20404647240</v>
      </c>
      <c r="E34" s="431">
        <v>763896465</v>
      </c>
      <c r="F34" s="431"/>
      <c r="G34" s="431"/>
      <c r="H34" s="431">
        <f>D34+E34-F34-G34</f>
        <v>21168543705</v>
      </c>
      <c r="I34" s="451">
        <v>2</v>
      </c>
      <c r="J34" s="430">
        <v>11211008866</v>
      </c>
      <c r="K34" s="434">
        <v>1174319815</v>
      </c>
      <c r="L34" s="434">
        <v>28347429</v>
      </c>
      <c r="M34" s="452"/>
      <c r="N34" s="434">
        <f t="shared" si="1"/>
        <v>12356981252</v>
      </c>
      <c r="O34" s="431">
        <f t="shared" si="2"/>
        <v>8811562453</v>
      </c>
      <c r="P34" s="435">
        <f t="shared" si="3"/>
        <v>9193638374</v>
      </c>
    </row>
    <row r="35" spans="2:27" ht="15" hidden="1" customHeight="1">
      <c r="B35" s="444">
        <v>3</v>
      </c>
      <c r="C35" s="450" t="s">
        <v>1215</v>
      </c>
      <c r="D35" s="430">
        <v>59752507432</v>
      </c>
      <c r="E35" s="431">
        <v>5458574710</v>
      </c>
      <c r="F35" s="431"/>
      <c r="G35" s="431"/>
      <c r="H35" s="431">
        <f>D35+E35-F35-G35</f>
        <v>65211082142</v>
      </c>
      <c r="I35" s="451">
        <v>3</v>
      </c>
      <c r="J35" s="430">
        <v>29610696270</v>
      </c>
      <c r="K35" s="434">
        <v>3667119803</v>
      </c>
      <c r="L35" s="434">
        <v>573271719</v>
      </c>
      <c r="M35" s="452"/>
      <c r="N35" s="434">
        <f t="shared" si="1"/>
        <v>32704544354</v>
      </c>
      <c r="O35" s="431">
        <f t="shared" si="2"/>
        <v>32506537788</v>
      </c>
      <c r="P35" s="435">
        <f t="shared" si="3"/>
        <v>30141811162</v>
      </c>
    </row>
    <row r="36" spans="2:27" ht="15" hidden="1" customHeight="1">
      <c r="B36" s="444">
        <v>4</v>
      </c>
      <c r="C36" s="450" t="s">
        <v>1216</v>
      </c>
      <c r="D36" s="430">
        <v>1367389602</v>
      </c>
      <c r="E36" s="431">
        <v>0</v>
      </c>
      <c r="F36" s="431"/>
      <c r="G36" s="431"/>
      <c r="H36" s="431">
        <f>D36+E36-F36-G36</f>
        <v>1367389602</v>
      </c>
      <c r="I36" s="451">
        <v>4</v>
      </c>
      <c r="J36" s="430">
        <v>1103926845</v>
      </c>
      <c r="K36" s="434">
        <v>18289438</v>
      </c>
      <c r="L36" s="434">
        <v>0</v>
      </c>
      <c r="M36" s="452"/>
      <c r="N36" s="434">
        <f t="shared" si="1"/>
        <v>1122216283</v>
      </c>
      <c r="O36" s="431">
        <f t="shared" si="2"/>
        <v>245173319</v>
      </c>
      <c r="P36" s="435">
        <f t="shared" si="3"/>
        <v>263462757</v>
      </c>
    </row>
    <row r="37" spans="2:27" ht="15" hidden="1" customHeight="1" thickBot="1">
      <c r="B37" s="453"/>
      <c r="C37" s="434"/>
      <c r="D37" s="440"/>
      <c r="E37" s="439"/>
      <c r="F37" s="439"/>
      <c r="G37" s="439"/>
      <c r="H37" s="439"/>
      <c r="I37" s="442"/>
      <c r="J37" s="454"/>
      <c r="K37" s="442"/>
      <c r="L37" s="442"/>
      <c r="M37" s="442"/>
      <c r="N37" s="455"/>
      <c r="O37" s="431"/>
      <c r="P37" s="435"/>
    </row>
    <row r="38" spans="2:27" ht="15" hidden="1" customHeight="1" thickBot="1">
      <c r="B38" s="456"/>
      <c r="C38" s="457" t="s">
        <v>354</v>
      </c>
      <c r="D38" s="458">
        <f>SUM(D33:D37)</f>
        <v>184317655554</v>
      </c>
      <c r="E38" s="458">
        <f>SUM(E33:E37)</f>
        <v>20144834377</v>
      </c>
      <c r="F38" s="458">
        <f t="shared" ref="F38:P38" si="5">SUM(F33:F37)</f>
        <v>0</v>
      </c>
      <c r="G38" s="458">
        <f t="shared" si="5"/>
        <v>0</v>
      </c>
      <c r="H38" s="458">
        <f>SUM(H33:H37)</f>
        <v>204462489931</v>
      </c>
      <c r="I38" s="459">
        <f t="shared" si="5"/>
        <v>9</v>
      </c>
      <c r="J38" s="459">
        <f t="shared" si="5"/>
        <v>80924250822</v>
      </c>
      <c r="K38" s="459">
        <f t="shared" si="5"/>
        <v>8528173103</v>
      </c>
      <c r="L38" s="459">
        <f t="shared" si="5"/>
        <v>613871549</v>
      </c>
      <c r="M38" s="459">
        <f t="shared" si="5"/>
        <v>0</v>
      </c>
      <c r="N38" s="459">
        <f t="shared" si="5"/>
        <v>88838552376</v>
      </c>
      <c r="O38" s="460">
        <f t="shared" si="5"/>
        <v>115623937555</v>
      </c>
      <c r="P38" s="461">
        <f t="shared" si="5"/>
        <v>103393404732</v>
      </c>
    </row>
    <row r="39" spans="2:27" ht="15" hidden="1" customHeight="1" thickBot="1">
      <c r="B39" s="462"/>
      <c r="C39" s="463"/>
      <c r="D39" s="464"/>
      <c r="E39" s="465"/>
      <c r="F39" s="465"/>
      <c r="G39" s="465"/>
      <c r="H39" s="465"/>
      <c r="I39" s="463"/>
      <c r="J39" s="463"/>
      <c r="K39" s="463"/>
      <c r="L39" s="463"/>
      <c r="M39" s="463"/>
      <c r="N39" s="463"/>
      <c r="O39" s="465"/>
      <c r="P39" s="466"/>
    </row>
    <row r="40" spans="2:27" ht="18.75" hidden="1" customHeight="1" thickBot="1">
      <c r="B40" s="467"/>
      <c r="C40" s="468" t="s">
        <v>1217</v>
      </c>
      <c r="D40" s="469">
        <v>164207366991</v>
      </c>
      <c r="E40" s="469">
        <v>20110288563</v>
      </c>
      <c r="F40" s="469">
        <v>0</v>
      </c>
      <c r="G40" s="469">
        <v>0</v>
      </c>
      <c r="H40" s="470">
        <f>D40+E40-F40-G40</f>
        <v>184317655554</v>
      </c>
      <c r="I40" s="471"/>
      <c r="J40" s="469">
        <v>74143295029</v>
      </c>
      <c r="K40" s="469">
        <v>7255747753</v>
      </c>
      <c r="L40" s="469">
        <v>474791960</v>
      </c>
      <c r="M40" s="469">
        <v>0</v>
      </c>
      <c r="N40" s="469">
        <f>J40+K40-L40</f>
        <v>80924250822</v>
      </c>
      <c r="O40" s="469">
        <f>H40-N40</f>
        <v>103393404732</v>
      </c>
      <c r="P40" s="472">
        <f>D40-J40</f>
        <v>90064071962</v>
      </c>
    </row>
    <row r="41" spans="2:27" ht="18.75" customHeight="1">
      <c r="B41" s="463"/>
      <c r="C41" s="473"/>
      <c r="D41" s="474"/>
      <c r="E41" s="474"/>
      <c r="F41" s="474"/>
      <c r="G41" s="474"/>
      <c r="H41" s="475"/>
      <c r="I41" s="476"/>
      <c r="J41" s="474"/>
      <c r="K41" s="474"/>
      <c r="L41" s="474"/>
      <c r="M41" s="474"/>
      <c r="N41" s="474"/>
      <c r="O41" s="474"/>
      <c r="P41" s="477"/>
    </row>
    <row r="42" spans="2:27" ht="18.75" customHeight="1">
      <c r="B42" s="463"/>
      <c r="C42" s="2418" t="s">
        <v>343</v>
      </c>
      <c r="D42" s="2418"/>
      <c r="E42" s="2418"/>
      <c r="F42" s="2418"/>
      <c r="G42" s="2418"/>
      <c r="H42" s="2418"/>
      <c r="I42" s="2418"/>
      <c r="J42" s="8"/>
      <c r="K42" s="8"/>
      <c r="L42" s="8"/>
      <c r="M42" s="8"/>
      <c r="N42" s="474"/>
      <c r="O42" s="474"/>
      <c r="P42" s="477"/>
    </row>
    <row r="43" spans="2:27" ht="31.5" customHeight="1">
      <c r="C43" s="2419" t="s">
        <v>1004</v>
      </c>
      <c r="D43" s="2419"/>
      <c r="E43" s="2419"/>
      <c r="F43" s="2419"/>
      <c r="G43" s="2419"/>
      <c r="H43" s="2419"/>
      <c r="I43" s="2419"/>
      <c r="J43" s="8"/>
      <c r="K43" s="8"/>
      <c r="L43" s="8"/>
      <c r="M43" s="8"/>
    </row>
    <row r="44" spans="2:27" ht="31.5" customHeight="1" thickBot="1">
      <c r="F44" s="2611" t="s">
        <v>95</v>
      </c>
      <c r="G44" s="2611"/>
      <c r="H44" s="2611"/>
      <c r="I44" s="2611"/>
      <c r="J44" s="2611"/>
      <c r="K44" s="2611"/>
      <c r="L44" s="2611"/>
      <c r="M44" s="2611"/>
      <c r="P44" s="8" t="s">
        <v>93</v>
      </c>
    </row>
    <row r="45" spans="2:27" ht="15" customHeight="1">
      <c r="B45" s="2612" t="s">
        <v>1003</v>
      </c>
      <c r="C45" s="2614" t="s">
        <v>1159</v>
      </c>
      <c r="D45" s="2597" t="s">
        <v>1153</v>
      </c>
      <c r="E45" s="2598"/>
      <c r="F45" s="2598"/>
      <c r="G45" s="2598"/>
      <c r="H45" s="2598"/>
      <c r="I45" s="2598"/>
      <c r="J45" s="2598"/>
      <c r="K45" s="2599"/>
      <c r="L45" s="2597" t="s">
        <v>1218</v>
      </c>
      <c r="M45" s="2598"/>
      <c r="N45" s="2598"/>
      <c r="O45" s="2598"/>
      <c r="P45" s="2598"/>
      <c r="Q45" s="2598"/>
      <c r="R45" s="2598"/>
      <c r="S45" s="2599"/>
      <c r="T45" s="2597" t="s">
        <v>1219</v>
      </c>
      <c r="U45" s="2598"/>
      <c r="V45" s="2598"/>
      <c r="W45" s="2598"/>
      <c r="X45" s="2598"/>
      <c r="Y45" s="2598"/>
      <c r="Z45" s="2598"/>
      <c r="AA45" s="2599"/>
    </row>
    <row r="46" spans="2:27" ht="28.5" customHeight="1">
      <c r="B46" s="2613"/>
      <c r="C46" s="2615"/>
      <c r="D46" s="479" t="s">
        <v>158</v>
      </c>
      <c r="E46" s="480" t="s">
        <v>397</v>
      </c>
      <c r="F46" s="481" t="s">
        <v>1220</v>
      </c>
      <c r="G46" s="480" t="s">
        <v>1221</v>
      </c>
      <c r="H46" s="481" t="s">
        <v>1222</v>
      </c>
      <c r="I46" s="481" t="s">
        <v>1223</v>
      </c>
      <c r="J46" s="480" t="s">
        <v>397</v>
      </c>
      <c r="K46" s="482" t="s">
        <v>411</v>
      </c>
      <c r="L46" s="479" t="s">
        <v>158</v>
      </c>
      <c r="M46" s="480" t="s">
        <v>397</v>
      </c>
      <c r="N46" s="481" t="s">
        <v>1220</v>
      </c>
      <c r="O46" s="480" t="s">
        <v>1221</v>
      </c>
      <c r="P46" s="481" t="s">
        <v>1222</v>
      </c>
      <c r="Q46" s="481" t="s">
        <v>1223</v>
      </c>
      <c r="R46" s="480" t="s">
        <v>397</v>
      </c>
      <c r="S46" s="482" t="s">
        <v>411</v>
      </c>
      <c r="T46" s="483" t="s">
        <v>158</v>
      </c>
      <c r="U46" s="480" t="s">
        <v>397</v>
      </c>
      <c r="V46" s="481" t="s">
        <v>1220</v>
      </c>
      <c r="W46" s="480" t="s">
        <v>1221</v>
      </c>
      <c r="X46" s="481" t="s">
        <v>1222</v>
      </c>
      <c r="Y46" s="481" t="s">
        <v>1223</v>
      </c>
      <c r="Z46" s="480" t="s">
        <v>397</v>
      </c>
      <c r="AA46" s="482" t="s">
        <v>411</v>
      </c>
    </row>
    <row r="47" spans="2:27" ht="15" customHeight="1">
      <c r="B47" s="127">
        <v>1</v>
      </c>
      <c r="C47" s="26" t="s">
        <v>1224</v>
      </c>
      <c r="D47" s="484">
        <v>1885.04</v>
      </c>
      <c r="E47" s="485">
        <v>1.32</v>
      </c>
      <c r="F47" s="485">
        <v>0</v>
      </c>
      <c r="G47" s="485">
        <f>D47+E47-F47</f>
        <v>1886.36</v>
      </c>
      <c r="H47" s="485">
        <v>0.13</v>
      </c>
      <c r="I47" s="485"/>
      <c r="J47" s="485">
        <v>0</v>
      </c>
      <c r="K47" s="486">
        <f>H47+J47</f>
        <v>0.13</v>
      </c>
      <c r="L47" s="484">
        <f>G47</f>
        <v>1886.36</v>
      </c>
      <c r="M47" s="485">
        <v>0.3</v>
      </c>
      <c r="N47" s="485">
        <v>0</v>
      </c>
      <c r="O47" s="293">
        <f>L47+M47-N47</f>
        <v>1886.6599999999999</v>
      </c>
      <c r="P47" s="293">
        <f>K47</f>
        <v>0.13</v>
      </c>
      <c r="Q47" s="293"/>
      <c r="R47" s="293">
        <v>0</v>
      </c>
      <c r="S47" s="26">
        <f>P47+R47</f>
        <v>0.13</v>
      </c>
      <c r="T47" s="487"/>
      <c r="U47" s="293"/>
      <c r="V47" s="293"/>
      <c r="W47" s="293"/>
      <c r="X47" s="293"/>
      <c r="Y47" s="293"/>
      <c r="Z47" s="293"/>
      <c r="AA47" s="26"/>
    </row>
    <row r="48" spans="2:27" ht="15" customHeight="1">
      <c r="B48" s="127">
        <v>2</v>
      </c>
      <c r="C48" s="26" t="s">
        <v>1078</v>
      </c>
      <c r="D48" s="484">
        <v>120.67</v>
      </c>
      <c r="E48" s="485">
        <v>5.32</v>
      </c>
      <c r="F48" s="485">
        <v>0</v>
      </c>
      <c r="G48" s="485">
        <f t="shared" ref="G48:G55" si="6">D48+E48-F48</f>
        <v>125.99000000000001</v>
      </c>
      <c r="H48" s="485">
        <v>18.149999999999999</v>
      </c>
      <c r="I48" s="485"/>
      <c r="J48" s="485">
        <v>2.12</v>
      </c>
      <c r="K48" s="486">
        <f t="shared" ref="K48:K55" si="7">H48+J48</f>
        <v>20.27</v>
      </c>
      <c r="L48" s="484">
        <f t="shared" ref="L48:L55" si="8">G48</f>
        <v>125.99000000000001</v>
      </c>
      <c r="M48" s="485">
        <v>-5.17</v>
      </c>
      <c r="N48" s="485">
        <v>0</v>
      </c>
      <c r="O48" s="293">
        <f t="shared" ref="O48:O55" si="9">L48+M48-N48</f>
        <v>120.82000000000001</v>
      </c>
      <c r="P48" s="293">
        <f t="shared" ref="P48:P55" si="10">K48</f>
        <v>20.27</v>
      </c>
      <c r="Q48" s="293"/>
      <c r="R48" s="293">
        <v>0.03</v>
      </c>
      <c r="S48" s="26">
        <f t="shared" ref="S48:S55" si="11">P48+R48</f>
        <v>20.3</v>
      </c>
      <c r="T48" s="487"/>
      <c r="U48" s="293"/>
      <c r="V48" s="293"/>
      <c r="W48" s="293"/>
      <c r="X48" s="293"/>
      <c r="Y48" s="293"/>
      <c r="Z48" s="293"/>
      <c r="AA48" s="26"/>
    </row>
    <row r="49" spans="2:36" ht="15" customHeight="1">
      <c r="B49" s="127">
        <v>3</v>
      </c>
      <c r="C49" s="26" t="s">
        <v>1080</v>
      </c>
      <c r="D49" s="484">
        <v>1.74</v>
      </c>
      <c r="E49" s="485">
        <v>0</v>
      </c>
      <c r="F49" s="485">
        <v>0</v>
      </c>
      <c r="G49" s="485">
        <f t="shared" si="6"/>
        <v>1.74</v>
      </c>
      <c r="H49" s="485">
        <v>0.7</v>
      </c>
      <c r="I49" s="485"/>
      <c r="J49" s="485">
        <v>0.03</v>
      </c>
      <c r="K49" s="486">
        <f t="shared" si="7"/>
        <v>0.73</v>
      </c>
      <c r="L49" s="484">
        <f t="shared" si="8"/>
        <v>1.74</v>
      </c>
      <c r="M49" s="485">
        <v>0</v>
      </c>
      <c r="N49" s="485">
        <v>0</v>
      </c>
      <c r="O49" s="293">
        <f t="shared" si="9"/>
        <v>1.74</v>
      </c>
      <c r="P49" s="293">
        <f t="shared" si="10"/>
        <v>0.73</v>
      </c>
      <c r="Q49" s="293"/>
      <c r="R49" s="293">
        <v>0</v>
      </c>
      <c r="S49" s="26">
        <f t="shared" si="11"/>
        <v>0.73</v>
      </c>
      <c r="T49" s="487"/>
      <c r="U49" s="293"/>
      <c r="V49" s="293"/>
      <c r="W49" s="293"/>
      <c r="X49" s="293"/>
      <c r="Y49" s="293"/>
      <c r="Z49" s="293"/>
      <c r="AA49" s="26"/>
    </row>
    <row r="50" spans="2:36" ht="15" customHeight="1">
      <c r="B50" s="127">
        <v>4</v>
      </c>
      <c r="C50" s="26" t="s">
        <v>1225</v>
      </c>
      <c r="D50" s="484">
        <v>3.09</v>
      </c>
      <c r="E50" s="485">
        <v>0</v>
      </c>
      <c r="F50" s="485">
        <v>0</v>
      </c>
      <c r="G50" s="485">
        <f t="shared" si="6"/>
        <v>3.09</v>
      </c>
      <c r="H50" s="485">
        <v>0.51</v>
      </c>
      <c r="I50" s="485"/>
      <c r="J50" s="485">
        <v>0.08</v>
      </c>
      <c r="K50" s="486">
        <f t="shared" si="7"/>
        <v>0.59</v>
      </c>
      <c r="L50" s="484">
        <f t="shared" si="8"/>
        <v>3.09</v>
      </c>
      <c r="M50" s="485">
        <v>0</v>
      </c>
      <c r="N50" s="485">
        <v>0</v>
      </c>
      <c r="O50" s="293">
        <f t="shared" si="9"/>
        <v>3.09</v>
      </c>
      <c r="P50" s="293">
        <f t="shared" si="10"/>
        <v>0.59</v>
      </c>
      <c r="Q50" s="293"/>
      <c r="R50" s="293">
        <v>0</v>
      </c>
      <c r="S50" s="26">
        <f t="shared" si="11"/>
        <v>0.59</v>
      </c>
      <c r="T50" s="487"/>
      <c r="U50" s="293"/>
      <c r="V50" s="293"/>
      <c r="W50" s="293"/>
      <c r="X50" s="293"/>
      <c r="Y50" s="293"/>
      <c r="Z50" s="293"/>
      <c r="AA50" s="26"/>
    </row>
    <row r="51" spans="2:36" ht="15" customHeight="1">
      <c r="B51" s="127">
        <v>5</v>
      </c>
      <c r="C51" s="26" t="s">
        <v>1077</v>
      </c>
      <c r="D51" s="484">
        <v>1385.57</v>
      </c>
      <c r="E51" s="485">
        <v>229.32</v>
      </c>
      <c r="F51" s="485">
        <v>0</v>
      </c>
      <c r="G51" s="485">
        <f t="shared" si="6"/>
        <v>1614.8899999999999</v>
      </c>
      <c r="H51" s="485">
        <v>600.55999999999995</v>
      </c>
      <c r="I51" s="485"/>
      <c r="J51" s="485">
        <v>47.16</v>
      </c>
      <c r="K51" s="486">
        <f t="shared" si="7"/>
        <v>647.71999999999991</v>
      </c>
      <c r="L51" s="484">
        <f t="shared" si="8"/>
        <v>1614.8899999999999</v>
      </c>
      <c r="M51" s="485">
        <v>-100.6</v>
      </c>
      <c r="N51" s="485">
        <v>0</v>
      </c>
      <c r="O51" s="293">
        <f t="shared" si="9"/>
        <v>1514.29</v>
      </c>
      <c r="P51" s="293">
        <f t="shared" si="10"/>
        <v>647.71999999999991</v>
      </c>
      <c r="Q51" s="293"/>
      <c r="R51" s="293">
        <v>0</v>
      </c>
      <c r="S51" s="26">
        <f t="shared" si="11"/>
        <v>647.71999999999991</v>
      </c>
      <c r="T51" s="487"/>
      <c r="U51" s="293"/>
      <c r="V51" s="293"/>
      <c r="W51" s="293"/>
      <c r="X51" s="293"/>
      <c r="Y51" s="293"/>
      <c r="Z51" s="293"/>
      <c r="AA51" s="26"/>
    </row>
    <row r="52" spans="2:36" ht="15" customHeight="1">
      <c r="B52" s="127">
        <v>6</v>
      </c>
      <c r="C52" s="488" t="s">
        <v>1226</v>
      </c>
      <c r="D52" s="484">
        <v>489.19</v>
      </c>
      <c r="E52" s="485">
        <v>69.8</v>
      </c>
      <c r="F52" s="485">
        <v>0</v>
      </c>
      <c r="G52" s="485">
        <f t="shared" si="6"/>
        <v>558.99</v>
      </c>
      <c r="H52" s="485">
        <v>284.48</v>
      </c>
      <c r="I52" s="485"/>
      <c r="J52" s="485">
        <v>23.17</v>
      </c>
      <c r="K52" s="486">
        <f t="shared" si="7"/>
        <v>307.65000000000003</v>
      </c>
      <c r="L52" s="484">
        <f t="shared" si="8"/>
        <v>558.99</v>
      </c>
      <c r="M52" s="485">
        <v>-15.31</v>
      </c>
      <c r="N52" s="485">
        <v>0</v>
      </c>
      <c r="O52" s="293">
        <f t="shared" si="9"/>
        <v>543.68000000000006</v>
      </c>
      <c r="P52" s="293">
        <f t="shared" si="10"/>
        <v>307.65000000000003</v>
      </c>
      <c r="Q52" s="293"/>
      <c r="R52" s="293">
        <v>0</v>
      </c>
      <c r="S52" s="26">
        <f t="shared" si="11"/>
        <v>307.65000000000003</v>
      </c>
      <c r="T52" s="487"/>
      <c r="U52" s="293"/>
      <c r="V52" s="293"/>
      <c r="W52" s="293"/>
      <c r="X52" s="293"/>
      <c r="Y52" s="293"/>
      <c r="Z52" s="293"/>
      <c r="AA52" s="26"/>
    </row>
    <row r="53" spans="2:36" ht="15" customHeight="1">
      <c r="B53" s="127">
        <v>7</v>
      </c>
      <c r="C53" s="26" t="s">
        <v>300</v>
      </c>
      <c r="D53" s="484">
        <v>7.29</v>
      </c>
      <c r="E53" s="485">
        <v>7.0000000000000007E-2</v>
      </c>
      <c r="F53" s="485">
        <v>0</v>
      </c>
      <c r="G53" s="485">
        <f t="shared" si="6"/>
        <v>7.36</v>
      </c>
      <c r="H53" s="485">
        <v>9.26</v>
      </c>
      <c r="I53" s="485"/>
      <c r="J53" s="485">
        <v>-0.03</v>
      </c>
      <c r="K53" s="486">
        <f t="shared" si="7"/>
        <v>9.23</v>
      </c>
      <c r="L53" s="484">
        <f t="shared" si="8"/>
        <v>7.36</v>
      </c>
      <c r="M53" s="485">
        <v>0.03</v>
      </c>
      <c r="N53" s="485">
        <v>0</v>
      </c>
      <c r="O53" s="293">
        <f t="shared" si="9"/>
        <v>7.3900000000000006</v>
      </c>
      <c r="P53" s="293">
        <f t="shared" si="10"/>
        <v>9.23</v>
      </c>
      <c r="Q53" s="293"/>
      <c r="R53" s="293">
        <v>0</v>
      </c>
      <c r="S53" s="26">
        <f t="shared" si="11"/>
        <v>9.23</v>
      </c>
      <c r="T53" s="487"/>
      <c r="U53" s="293"/>
      <c r="V53" s="293"/>
      <c r="W53" s="293"/>
      <c r="X53" s="293"/>
      <c r="Y53" s="293"/>
      <c r="Z53" s="293"/>
      <c r="AA53" s="26"/>
    </row>
    <row r="54" spans="2:36" ht="15" customHeight="1">
      <c r="B54" s="127">
        <v>8</v>
      </c>
      <c r="C54" s="26" t="s">
        <v>1082</v>
      </c>
      <c r="D54" s="484">
        <v>1.67</v>
      </c>
      <c r="E54" s="485">
        <v>0.05</v>
      </c>
      <c r="F54" s="485">
        <v>0</v>
      </c>
      <c r="G54" s="485">
        <f t="shared" si="6"/>
        <v>1.72</v>
      </c>
      <c r="H54" s="485">
        <v>0.85</v>
      </c>
      <c r="I54" s="485"/>
      <c r="J54" s="485">
        <v>0.12</v>
      </c>
      <c r="K54" s="486">
        <f t="shared" si="7"/>
        <v>0.97</v>
      </c>
      <c r="L54" s="484">
        <f t="shared" si="8"/>
        <v>1.72</v>
      </c>
      <c r="M54" s="485">
        <v>0.02</v>
      </c>
      <c r="N54" s="485">
        <v>0</v>
      </c>
      <c r="O54" s="293">
        <f t="shared" si="9"/>
        <v>1.74</v>
      </c>
      <c r="P54" s="293">
        <f t="shared" si="10"/>
        <v>0.97</v>
      </c>
      <c r="Q54" s="293"/>
      <c r="R54" s="293">
        <v>0</v>
      </c>
      <c r="S54" s="26">
        <f t="shared" si="11"/>
        <v>0.97</v>
      </c>
      <c r="T54" s="487"/>
      <c r="U54" s="293"/>
      <c r="V54" s="293"/>
      <c r="W54" s="293"/>
      <c r="X54" s="293"/>
      <c r="Y54" s="293"/>
      <c r="Z54" s="293"/>
      <c r="AA54" s="26"/>
    </row>
    <row r="55" spans="2:36" ht="15" customHeight="1">
      <c r="B55" s="127">
        <v>9</v>
      </c>
      <c r="C55" s="26" t="s">
        <v>1083</v>
      </c>
      <c r="D55" s="484">
        <v>0.27</v>
      </c>
      <c r="E55" s="485">
        <v>0.8</v>
      </c>
      <c r="F55" s="485">
        <v>0</v>
      </c>
      <c r="G55" s="485">
        <f t="shared" si="6"/>
        <v>1.07</v>
      </c>
      <c r="H55" s="485">
        <v>-0.31</v>
      </c>
      <c r="I55" s="485"/>
      <c r="J55" s="485">
        <v>0.03</v>
      </c>
      <c r="K55" s="486">
        <f t="shared" si="7"/>
        <v>-0.28000000000000003</v>
      </c>
      <c r="L55" s="484">
        <f t="shared" si="8"/>
        <v>1.07</v>
      </c>
      <c r="M55" s="485">
        <v>0.41</v>
      </c>
      <c r="N55" s="485">
        <v>0</v>
      </c>
      <c r="O55" s="293">
        <f t="shared" si="9"/>
        <v>1.48</v>
      </c>
      <c r="P55" s="293">
        <f t="shared" si="10"/>
        <v>-0.28000000000000003</v>
      </c>
      <c r="Q55" s="293"/>
      <c r="R55" s="293">
        <v>0</v>
      </c>
      <c r="S55" s="26">
        <f t="shared" si="11"/>
        <v>-0.28000000000000003</v>
      </c>
      <c r="T55" s="487"/>
      <c r="U55" s="293"/>
      <c r="V55" s="293"/>
      <c r="W55" s="293"/>
      <c r="X55" s="293"/>
      <c r="Y55" s="293"/>
      <c r="Z55" s="293"/>
      <c r="AA55" s="26"/>
    </row>
    <row r="56" spans="2:36" ht="15" customHeight="1" thickBot="1">
      <c r="B56" s="489">
        <v>10</v>
      </c>
      <c r="C56" s="297" t="s">
        <v>287</v>
      </c>
      <c r="D56" s="490">
        <f>SUM(D47:D55)</f>
        <v>3894.5299999999997</v>
      </c>
      <c r="E56" s="491">
        <f>SUM(E47:E55)</f>
        <v>306.68</v>
      </c>
      <c r="F56" s="491">
        <f>SUM(F47:F55)</f>
        <v>0</v>
      </c>
      <c r="G56" s="491">
        <f>SUM(G47:G55)</f>
        <v>4201.2099999999991</v>
      </c>
      <c r="H56" s="491">
        <f>SUM(H47:H55)</f>
        <v>914.33</v>
      </c>
      <c r="I56" s="491"/>
      <c r="J56" s="491">
        <f t="shared" ref="J56:S56" si="12">SUM(J47:J55)</f>
        <v>72.680000000000007</v>
      </c>
      <c r="K56" s="491">
        <f t="shared" si="12"/>
        <v>987.01</v>
      </c>
      <c r="L56" s="491">
        <f t="shared" si="12"/>
        <v>4201.2099999999991</v>
      </c>
      <c r="M56" s="491">
        <f t="shared" si="12"/>
        <v>-120.32000000000001</v>
      </c>
      <c r="N56" s="491">
        <f t="shared" si="12"/>
        <v>0</v>
      </c>
      <c r="O56" s="491">
        <f t="shared" si="12"/>
        <v>4080.8899999999994</v>
      </c>
      <c r="P56" s="491">
        <f t="shared" si="12"/>
        <v>987.01</v>
      </c>
      <c r="Q56" s="491">
        <f t="shared" si="12"/>
        <v>0</v>
      </c>
      <c r="R56" s="491">
        <f t="shared" si="12"/>
        <v>0.03</v>
      </c>
      <c r="S56" s="491">
        <f t="shared" si="12"/>
        <v>987.04</v>
      </c>
      <c r="T56" s="493"/>
      <c r="U56" s="492"/>
      <c r="V56" s="492"/>
      <c r="W56" s="492"/>
      <c r="X56" s="492"/>
      <c r="Y56" s="492"/>
      <c r="Z56" s="492"/>
      <c r="AA56" s="297"/>
    </row>
    <row r="60" spans="2:36" s="6" customFormat="1" ht="15" hidden="1" customHeight="1">
      <c r="B60" s="2" t="s">
        <v>1234</v>
      </c>
      <c r="C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 s="6" customFormat="1" ht="15" hidden="1" customHeight="1">
      <c r="B61" s="2" t="s">
        <v>1235</v>
      </c>
      <c r="C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 s="6" customFormat="1" ht="15" customHeight="1">
      <c r="B62" s="2"/>
      <c r="C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</sheetData>
  <mergeCells count="37">
    <mergeCell ref="M1:N1"/>
    <mergeCell ref="B2:N2"/>
    <mergeCell ref="B3:N3"/>
    <mergeCell ref="B4:N4"/>
    <mergeCell ref="B5:B8"/>
    <mergeCell ref="C5:C8"/>
    <mergeCell ref="D5:N5"/>
    <mergeCell ref="B21:P21"/>
    <mergeCell ref="O5:Y5"/>
    <mergeCell ref="Z5:AJ5"/>
    <mergeCell ref="D6:N6"/>
    <mergeCell ref="O6:Y6"/>
    <mergeCell ref="Z6:AJ6"/>
    <mergeCell ref="D7:G7"/>
    <mergeCell ref="H7:L7"/>
    <mergeCell ref="M7:N7"/>
    <mergeCell ref="O7:R7"/>
    <mergeCell ref="S7:W7"/>
    <mergeCell ref="X7:Y7"/>
    <mergeCell ref="Z7:AC7"/>
    <mergeCell ref="AD7:AH7"/>
    <mergeCell ref="AI7:AJ7"/>
    <mergeCell ref="C20:N20"/>
    <mergeCell ref="T45:AA45"/>
    <mergeCell ref="C42:I42"/>
    <mergeCell ref="C43:I43"/>
    <mergeCell ref="B23:O23"/>
    <mergeCell ref="N24:P24"/>
    <mergeCell ref="D25:H25"/>
    <mergeCell ref="J25:N25"/>
    <mergeCell ref="O25:P25"/>
    <mergeCell ref="B26:C26"/>
    <mergeCell ref="F44:M44"/>
    <mergeCell ref="B45:B46"/>
    <mergeCell ref="C45:C46"/>
    <mergeCell ref="D45:K45"/>
    <mergeCell ref="L45:S45"/>
  </mergeCells>
  <conditionalFormatting sqref="D9:AJ17">
    <cfRule type="cellIs" dxfId="0" priority="1" stopIfTrue="1" operator="lessThan">
      <formula>0</formula>
    </cfRule>
  </conditionalFormatting>
  <dataValidations count="2">
    <dataValidation type="custom" allowBlank="1" showInputMessage="1" showErrorMessage="1" sqref="H38">
      <formula1>SUM(H33:H38)</formula1>
    </dataValidation>
    <dataValidation allowBlank="1" showInputMessage="1" showErrorMessage="1" errorTitle="Error" error="enterDate, No Text please" sqref="E30"/>
  </dataValidations>
  <printOptions horizontalCentered="1"/>
  <pageMargins left="0" right="0" top="0.5" bottom="0.5" header="0.05" footer="0.05"/>
  <pageSetup paperSize="9" scale="41" orientation="landscape" horizontalDpi="300" verticalDpi="300" r:id="rId1"/>
  <headerFooter alignWithMargins="0">
    <oddHeader>&amp;R&amp;F</oddHeader>
    <oddFooter>&amp;L&amp;P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D156"/>
  <sheetViews>
    <sheetView topLeftCell="A95" zoomScale="95" zoomScaleNormal="95" workbookViewId="0">
      <selection activeCell="G102" sqref="G102"/>
    </sheetView>
  </sheetViews>
  <sheetFormatPr defaultRowHeight="15"/>
  <cols>
    <col min="1" max="1" width="4.5703125" style="641" customWidth="1"/>
    <col min="2" max="2" width="5.28515625" style="641" customWidth="1"/>
    <col min="3" max="3" width="19.85546875" style="641" customWidth="1"/>
    <col min="4" max="4" width="15.5703125" style="641" customWidth="1"/>
    <col min="5" max="5" width="11.140625" style="641" customWidth="1"/>
    <col min="6" max="6" width="11.140625" style="1205" customWidth="1"/>
    <col min="7" max="7" width="11.28515625" style="641" customWidth="1"/>
    <col min="8" max="9" width="11.28515625" style="1205" customWidth="1"/>
    <col min="10" max="10" width="11.140625" style="641" customWidth="1"/>
    <col min="11" max="12" width="11.140625" style="1205" customWidth="1"/>
    <col min="13" max="13" width="12.140625" style="641" customWidth="1"/>
    <col min="14" max="15" width="12.140625" style="1205" customWidth="1"/>
    <col min="16" max="16" width="22.28515625" style="641" customWidth="1"/>
    <col min="17" max="17" width="9.140625" style="641"/>
    <col min="18" max="24" width="0" style="641" hidden="1" customWidth="1"/>
    <col min="25" max="26" width="12.28515625" style="641" customWidth="1"/>
    <col min="27" max="16384" width="9.140625" style="641"/>
  </cols>
  <sheetData>
    <row r="1" spans="1:22" ht="24" customHeight="1">
      <c r="A1" s="2646" t="s">
        <v>1446</v>
      </c>
      <c r="B1" s="2646"/>
      <c r="C1" s="2646"/>
      <c r="D1" s="2646"/>
      <c r="E1" s="2646"/>
      <c r="F1" s="2646"/>
      <c r="G1" s="2646"/>
      <c r="H1" s="2646"/>
      <c r="I1" s="2646"/>
      <c r="J1" s="2646"/>
      <c r="K1" s="2646"/>
      <c r="L1" s="2646"/>
      <c r="M1" s="2646"/>
      <c r="N1" s="2646"/>
      <c r="O1" s="2646"/>
      <c r="P1" s="2646"/>
    </row>
    <row r="2" spans="1:22" ht="90" customHeight="1">
      <c r="A2" s="642" t="s">
        <v>394</v>
      </c>
      <c r="B2" s="642" t="s">
        <v>1447</v>
      </c>
      <c r="C2" s="642" t="s">
        <v>1448</v>
      </c>
      <c r="D2" s="642" t="s">
        <v>1449</v>
      </c>
      <c r="E2" s="643" t="s">
        <v>1450</v>
      </c>
      <c r="F2" s="643" t="s">
        <v>2450</v>
      </c>
      <c r="G2" s="642" t="s">
        <v>1451</v>
      </c>
      <c r="H2" s="642" t="s">
        <v>2438</v>
      </c>
      <c r="I2" s="642" t="s">
        <v>2451</v>
      </c>
      <c r="J2" s="644" t="s">
        <v>1452</v>
      </c>
      <c r="K2" s="644" t="s">
        <v>2438</v>
      </c>
      <c r="L2" s="644" t="s">
        <v>2451</v>
      </c>
      <c r="M2" s="644" t="s">
        <v>1453</v>
      </c>
      <c r="N2" s="644" t="s">
        <v>2438</v>
      </c>
      <c r="O2" s="644" t="s">
        <v>2451</v>
      </c>
      <c r="P2" s="642" t="s">
        <v>454</v>
      </c>
    </row>
    <row r="3" spans="1:22" ht="15.75">
      <c r="A3" s="2645" t="s">
        <v>1454</v>
      </c>
      <c r="B3" s="2645"/>
      <c r="C3" s="2645"/>
      <c r="D3" s="2645"/>
      <c r="E3" s="2645"/>
      <c r="F3" s="2645"/>
      <c r="G3" s="2645"/>
      <c r="H3" s="2645"/>
      <c r="I3" s="2645"/>
      <c r="J3" s="2645"/>
      <c r="K3" s="2645"/>
      <c r="L3" s="2645"/>
      <c r="M3" s="2645"/>
      <c r="N3" s="2645"/>
      <c r="O3" s="2645"/>
      <c r="P3" s="2645"/>
    </row>
    <row r="4" spans="1:22" s="1207" customFormat="1" ht="51.75" hidden="1" customHeight="1">
      <c r="A4" s="1252">
        <v>1</v>
      </c>
      <c r="B4" s="1253" t="s">
        <v>1455</v>
      </c>
      <c r="C4" s="1254" t="s">
        <v>1456</v>
      </c>
      <c r="D4" s="1255">
        <v>3.7469999999999999</v>
      </c>
      <c r="E4" s="1255">
        <v>225</v>
      </c>
      <c r="F4" s="1255">
        <v>0</v>
      </c>
      <c r="G4" s="1255">
        <v>58.95</v>
      </c>
      <c r="H4" s="1255">
        <v>0</v>
      </c>
      <c r="I4" s="1255">
        <f t="shared" ref="I4:I9" si="0">F4+G4-H4</f>
        <v>58.95</v>
      </c>
      <c r="J4" s="1255">
        <f t="shared" ref="J4:J9" si="1">E4-G4</f>
        <v>166.05</v>
      </c>
      <c r="K4" s="1255">
        <v>225</v>
      </c>
      <c r="L4" s="1255">
        <f t="shared" ref="L4:L9" si="2">I4+J4-K4</f>
        <v>0</v>
      </c>
      <c r="M4" s="1255">
        <v>0</v>
      </c>
      <c r="N4" s="1255">
        <v>0</v>
      </c>
      <c r="O4" s="1255">
        <v>0</v>
      </c>
      <c r="P4" s="1254" t="s">
        <v>1457</v>
      </c>
      <c r="S4" s="1207">
        <f>E4</f>
        <v>225</v>
      </c>
      <c r="T4" s="1207">
        <f>SUM(G4:M4)</f>
        <v>508.95000000000005</v>
      </c>
      <c r="V4" s="1207">
        <f>S4-T4</f>
        <v>-283.95000000000005</v>
      </c>
    </row>
    <row r="5" spans="1:22" ht="93" customHeight="1">
      <c r="A5" s="645">
        <v>1</v>
      </c>
      <c r="B5" s="648"/>
      <c r="C5" s="646" t="s">
        <v>1458</v>
      </c>
      <c r="D5" s="647">
        <f>5.876/2</f>
        <v>2.9380000000000002</v>
      </c>
      <c r="E5" s="647">
        <v>220</v>
      </c>
      <c r="F5" s="647">
        <v>0</v>
      </c>
      <c r="G5" s="647">
        <v>23.04</v>
      </c>
      <c r="H5" s="647">
        <v>0</v>
      </c>
      <c r="I5" s="647">
        <f t="shared" si="0"/>
        <v>23.04</v>
      </c>
      <c r="J5" s="647">
        <f t="shared" si="1"/>
        <v>196.96</v>
      </c>
      <c r="K5" s="647">
        <v>220</v>
      </c>
      <c r="L5" s="647">
        <f t="shared" si="2"/>
        <v>0</v>
      </c>
      <c r="M5" s="647">
        <v>0</v>
      </c>
      <c r="N5" s="647">
        <v>0</v>
      </c>
      <c r="O5" s="647">
        <v>0</v>
      </c>
      <c r="P5" s="646" t="s">
        <v>1457</v>
      </c>
      <c r="S5" s="641">
        <f t="shared" ref="S5:S68" si="3">E5</f>
        <v>220</v>
      </c>
      <c r="T5" s="641">
        <f t="shared" ref="T5:T68" si="4">SUM(G5:M5)</f>
        <v>463.04</v>
      </c>
      <c r="V5" s="641">
        <f t="shared" ref="V5:V68" si="5">S5-T5</f>
        <v>-243.04000000000002</v>
      </c>
    </row>
    <row r="6" spans="1:22" s="1207" customFormat="1" ht="37.5" hidden="1" customHeight="1">
      <c r="A6" s="1252">
        <v>3</v>
      </c>
      <c r="B6" s="1255" t="s">
        <v>1459</v>
      </c>
      <c r="C6" s="1254" t="s">
        <v>1460</v>
      </c>
      <c r="D6" s="1255">
        <v>32.914000000000001</v>
      </c>
      <c r="E6" s="1255">
        <v>1233</v>
      </c>
      <c r="F6" s="1255">
        <v>0</v>
      </c>
      <c r="G6" s="1255">
        <v>33.43</v>
      </c>
      <c r="H6" s="1255">
        <v>0</v>
      </c>
      <c r="I6" s="1255">
        <f t="shared" si="0"/>
        <v>33.43</v>
      </c>
      <c r="J6" s="1255">
        <f t="shared" si="1"/>
        <v>1199.57</v>
      </c>
      <c r="K6" s="1255">
        <v>1233</v>
      </c>
      <c r="L6" s="1255">
        <f t="shared" si="2"/>
        <v>0</v>
      </c>
      <c r="M6" s="1255">
        <v>0</v>
      </c>
      <c r="N6" s="1255">
        <v>0</v>
      </c>
      <c r="O6" s="1255">
        <v>0</v>
      </c>
      <c r="P6" s="1256" t="s">
        <v>1461</v>
      </c>
      <c r="S6" s="1207">
        <f t="shared" si="3"/>
        <v>1233</v>
      </c>
      <c r="T6" s="1207">
        <f t="shared" si="4"/>
        <v>2499.4299999999998</v>
      </c>
      <c r="V6" s="1207">
        <f t="shared" si="5"/>
        <v>-1266.4299999999998</v>
      </c>
    </row>
    <row r="7" spans="1:22" ht="24" customHeight="1">
      <c r="A7" s="645">
        <v>2</v>
      </c>
      <c r="B7" s="646" t="s">
        <v>1462</v>
      </c>
      <c r="C7" s="646" t="s">
        <v>1463</v>
      </c>
      <c r="D7" s="647">
        <v>20.007999999999999</v>
      </c>
      <c r="E7" s="647">
        <v>632</v>
      </c>
      <c r="F7" s="647">
        <v>0</v>
      </c>
      <c r="G7" s="647">
        <v>144.74</v>
      </c>
      <c r="H7" s="647">
        <v>0</v>
      </c>
      <c r="I7" s="647">
        <f t="shared" si="0"/>
        <v>144.74</v>
      </c>
      <c r="J7" s="647">
        <f t="shared" si="1"/>
        <v>487.26</v>
      </c>
      <c r="K7" s="647">
        <v>632</v>
      </c>
      <c r="L7" s="647">
        <f t="shared" si="2"/>
        <v>0</v>
      </c>
      <c r="M7" s="647">
        <v>0</v>
      </c>
      <c r="N7" s="647">
        <v>0</v>
      </c>
      <c r="O7" s="647">
        <v>0</v>
      </c>
      <c r="P7" s="649" t="s">
        <v>1464</v>
      </c>
      <c r="S7" s="641">
        <f t="shared" si="3"/>
        <v>632</v>
      </c>
      <c r="T7" s="641">
        <f t="shared" si="4"/>
        <v>1408.74</v>
      </c>
      <c r="V7" s="641">
        <f t="shared" si="5"/>
        <v>-776.74</v>
      </c>
    </row>
    <row r="8" spans="1:22" s="1207" customFormat="1" ht="39" hidden="1" customHeight="1">
      <c r="A8" s="1252">
        <v>5</v>
      </c>
      <c r="B8" s="1255" t="s">
        <v>1465</v>
      </c>
      <c r="C8" s="1254" t="s">
        <v>1466</v>
      </c>
      <c r="D8" s="1257">
        <v>16.899000000000001</v>
      </c>
      <c r="E8" s="1255">
        <v>807</v>
      </c>
      <c r="F8" s="1255">
        <v>0</v>
      </c>
      <c r="G8" s="1255">
        <v>566.04999999999995</v>
      </c>
      <c r="H8" s="1255">
        <v>0</v>
      </c>
      <c r="I8" s="1255">
        <f t="shared" si="0"/>
        <v>566.04999999999995</v>
      </c>
      <c r="J8" s="1255">
        <f t="shared" si="1"/>
        <v>240.95000000000005</v>
      </c>
      <c r="K8" s="1255">
        <v>807</v>
      </c>
      <c r="L8" s="1255">
        <f t="shared" si="2"/>
        <v>0</v>
      </c>
      <c r="M8" s="1255">
        <v>0</v>
      </c>
      <c r="N8" s="1255">
        <v>0</v>
      </c>
      <c r="O8" s="1255">
        <v>0</v>
      </c>
      <c r="P8" s="1256" t="s">
        <v>1461</v>
      </c>
      <c r="S8" s="1207">
        <f t="shared" si="3"/>
        <v>807</v>
      </c>
      <c r="T8" s="1207">
        <f t="shared" si="4"/>
        <v>2180.0500000000002</v>
      </c>
      <c r="V8" s="1207">
        <f t="shared" si="5"/>
        <v>-1373.0500000000002</v>
      </c>
    </row>
    <row r="9" spans="1:22" s="1207" customFormat="1" ht="25.5" hidden="1" customHeight="1">
      <c r="A9" s="1252">
        <v>6</v>
      </c>
      <c r="B9" s="1254" t="s">
        <v>1467</v>
      </c>
      <c r="C9" s="1254" t="s">
        <v>1468</v>
      </c>
      <c r="D9" s="1257" t="s">
        <v>1469</v>
      </c>
      <c r="E9" s="1255">
        <v>1428</v>
      </c>
      <c r="F9" s="1255">
        <v>0</v>
      </c>
      <c r="G9" s="1255">
        <v>715.8</v>
      </c>
      <c r="H9" s="1255">
        <v>0</v>
      </c>
      <c r="I9" s="1255">
        <f t="shared" si="0"/>
        <v>715.8</v>
      </c>
      <c r="J9" s="1255">
        <f t="shared" si="1"/>
        <v>712.2</v>
      </c>
      <c r="K9" s="1255">
        <v>1428</v>
      </c>
      <c r="L9" s="1255">
        <f t="shared" si="2"/>
        <v>0</v>
      </c>
      <c r="M9" s="1255">
        <v>0</v>
      </c>
      <c r="N9" s="1255">
        <v>0</v>
      </c>
      <c r="O9" s="1255">
        <v>0</v>
      </c>
      <c r="P9" s="1256" t="s">
        <v>1461</v>
      </c>
      <c r="S9" s="1207">
        <f t="shared" si="3"/>
        <v>1428</v>
      </c>
      <c r="T9" s="1207">
        <f t="shared" si="4"/>
        <v>3571.8</v>
      </c>
      <c r="V9" s="1207">
        <f t="shared" si="5"/>
        <v>-2143.8000000000002</v>
      </c>
    </row>
    <row r="10" spans="1:22" ht="15.75" customHeight="1">
      <c r="A10" s="645"/>
      <c r="B10" s="646"/>
      <c r="C10" s="646"/>
      <c r="D10" s="650"/>
      <c r="E10" s="651">
        <f>SUM(E5,E7)</f>
        <v>852</v>
      </c>
      <c r="F10" s="651">
        <f t="shared" ref="F10:O10" si="6">SUM(F5,F7)</f>
        <v>0</v>
      </c>
      <c r="G10" s="651">
        <f t="shared" si="6"/>
        <v>167.78</v>
      </c>
      <c r="H10" s="651">
        <f t="shared" si="6"/>
        <v>0</v>
      </c>
      <c r="I10" s="651">
        <f t="shared" si="6"/>
        <v>167.78</v>
      </c>
      <c r="J10" s="651">
        <f t="shared" si="6"/>
        <v>684.22</v>
      </c>
      <c r="K10" s="651">
        <f t="shared" si="6"/>
        <v>852</v>
      </c>
      <c r="L10" s="651">
        <f t="shared" si="6"/>
        <v>0</v>
      </c>
      <c r="M10" s="651">
        <f t="shared" si="6"/>
        <v>0</v>
      </c>
      <c r="N10" s="651">
        <f t="shared" si="6"/>
        <v>0</v>
      </c>
      <c r="O10" s="651">
        <f t="shared" si="6"/>
        <v>0</v>
      </c>
      <c r="P10" s="649"/>
      <c r="S10" s="641">
        <f t="shared" si="3"/>
        <v>852</v>
      </c>
      <c r="T10" s="641">
        <f t="shared" si="4"/>
        <v>1871.78</v>
      </c>
      <c r="V10" s="641">
        <f t="shared" si="5"/>
        <v>-1019.78</v>
      </c>
    </row>
    <row r="11" spans="1:22" ht="14.25" customHeight="1">
      <c r="A11" s="2645" t="s">
        <v>1470</v>
      </c>
      <c r="B11" s="2645"/>
      <c r="C11" s="2645"/>
      <c r="D11" s="2645"/>
      <c r="E11" s="2645"/>
      <c r="F11" s="2645"/>
      <c r="G11" s="2645"/>
      <c r="H11" s="2645"/>
      <c r="I11" s="2645"/>
      <c r="J11" s="2645"/>
      <c r="K11" s="2645"/>
      <c r="L11" s="2645"/>
      <c r="M11" s="2645"/>
      <c r="N11" s="2645"/>
      <c r="O11" s="2645"/>
      <c r="P11" s="2645"/>
      <c r="S11" s="641">
        <f t="shared" si="3"/>
        <v>0</v>
      </c>
      <c r="T11" s="641">
        <f t="shared" si="4"/>
        <v>0</v>
      </c>
      <c r="V11" s="641">
        <f t="shared" si="5"/>
        <v>0</v>
      </c>
    </row>
    <row r="12" spans="1:22" ht="15" customHeight="1">
      <c r="A12" s="2645" t="s">
        <v>1471</v>
      </c>
      <c r="B12" s="2645"/>
      <c r="C12" s="2645"/>
      <c r="D12" s="2645"/>
      <c r="E12" s="2645"/>
      <c r="F12" s="2645"/>
      <c r="G12" s="2645"/>
      <c r="H12" s="2645"/>
      <c r="I12" s="2645"/>
      <c r="J12" s="2645"/>
      <c r="K12" s="2645"/>
      <c r="L12" s="2645"/>
      <c r="M12" s="2645"/>
      <c r="N12" s="2645"/>
      <c r="O12" s="2645"/>
      <c r="P12" s="2645"/>
      <c r="S12" s="641">
        <f t="shared" si="3"/>
        <v>0</v>
      </c>
      <c r="T12" s="641">
        <f t="shared" si="4"/>
        <v>0</v>
      </c>
      <c r="V12" s="641">
        <f t="shared" si="5"/>
        <v>0</v>
      </c>
    </row>
    <row r="13" spans="1:22" ht="53.25" customHeight="1">
      <c r="A13" s="645">
        <v>1</v>
      </c>
      <c r="B13" s="646" t="s">
        <v>1472</v>
      </c>
      <c r="C13" s="646" t="s">
        <v>1473</v>
      </c>
      <c r="D13" s="652" t="s">
        <v>1474</v>
      </c>
      <c r="E13" s="651">
        <v>145</v>
      </c>
      <c r="F13" s="647">
        <v>0</v>
      </c>
      <c r="G13" s="651">
        <v>25.75</v>
      </c>
      <c r="H13" s="651">
        <v>0</v>
      </c>
      <c r="I13" s="647">
        <f>F13+G13-H13</f>
        <v>25.75</v>
      </c>
      <c r="J13" s="651">
        <f>E13-G13</f>
        <v>119.25</v>
      </c>
      <c r="K13" s="651">
        <v>145</v>
      </c>
      <c r="L13" s="647">
        <f>I13+J13-K13</f>
        <v>0</v>
      </c>
      <c r="M13" s="647">
        <v>0</v>
      </c>
      <c r="N13" s="647">
        <v>0</v>
      </c>
      <c r="O13" s="647">
        <v>0</v>
      </c>
      <c r="P13" s="649" t="s">
        <v>1461</v>
      </c>
      <c r="S13" s="641">
        <f t="shared" si="3"/>
        <v>145</v>
      </c>
      <c r="T13" s="641">
        <f t="shared" si="4"/>
        <v>315.75</v>
      </c>
      <c r="V13" s="641">
        <f t="shared" si="5"/>
        <v>-170.75</v>
      </c>
    </row>
    <row r="14" spans="1:22" ht="27" hidden="1" customHeight="1">
      <c r="A14" s="2647" t="s">
        <v>1475</v>
      </c>
      <c r="B14" s="2647"/>
      <c r="C14" s="2647"/>
      <c r="D14" s="2647"/>
      <c r="E14" s="2647"/>
      <c r="F14" s="2647"/>
      <c r="G14" s="2647"/>
      <c r="H14" s="2647"/>
      <c r="I14" s="2647"/>
      <c r="J14" s="2647"/>
      <c r="K14" s="2647"/>
      <c r="L14" s="2647"/>
      <c r="M14" s="2647"/>
      <c r="N14" s="2647"/>
      <c r="O14" s="2647"/>
      <c r="P14" s="2647"/>
      <c r="S14" s="641">
        <f t="shared" si="3"/>
        <v>0</v>
      </c>
      <c r="T14" s="641">
        <f t="shared" si="4"/>
        <v>0</v>
      </c>
      <c r="V14" s="641">
        <f t="shared" si="5"/>
        <v>0</v>
      </c>
    </row>
    <row r="15" spans="1:22" ht="41.25" hidden="1" customHeight="1">
      <c r="A15" s="643" t="s">
        <v>394</v>
      </c>
      <c r="B15" s="643" t="s">
        <v>1447</v>
      </c>
      <c r="C15" s="643" t="s">
        <v>1448</v>
      </c>
      <c r="D15" s="643" t="s">
        <v>1449</v>
      </c>
      <c r="E15" s="643" t="s">
        <v>1450</v>
      </c>
      <c r="F15" s="643"/>
      <c r="G15" s="642" t="s">
        <v>1451</v>
      </c>
      <c r="H15" s="642"/>
      <c r="I15" s="642"/>
      <c r="J15" s="644" t="s">
        <v>1452</v>
      </c>
      <c r="K15" s="644"/>
      <c r="L15" s="644"/>
      <c r="M15" s="644" t="s">
        <v>1453</v>
      </c>
      <c r="N15" s="644"/>
      <c r="O15" s="644"/>
      <c r="P15" s="642" t="s">
        <v>454</v>
      </c>
      <c r="S15" s="641" t="str">
        <f t="shared" si="3"/>
        <v>Total Estimated Cost</v>
      </c>
      <c r="T15" s="641">
        <f t="shared" si="4"/>
        <v>0</v>
      </c>
    </row>
    <row r="16" spans="1:22" ht="15" hidden="1" customHeight="1">
      <c r="A16" s="2648" t="s">
        <v>1476</v>
      </c>
      <c r="B16" s="2648"/>
      <c r="C16" s="2648"/>
      <c r="D16" s="2648"/>
      <c r="E16" s="2648"/>
      <c r="F16" s="2648"/>
      <c r="G16" s="2648"/>
      <c r="H16" s="2648"/>
      <c r="I16" s="2648"/>
      <c r="J16" s="2648"/>
      <c r="K16" s="2648"/>
      <c r="L16" s="2648"/>
      <c r="M16" s="2648"/>
      <c r="N16" s="2648"/>
      <c r="O16" s="2648"/>
      <c r="P16" s="2648"/>
      <c r="S16" s="641">
        <f t="shared" si="3"/>
        <v>0</v>
      </c>
      <c r="T16" s="641">
        <f t="shared" si="4"/>
        <v>0</v>
      </c>
      <c r="V16" s="641">
        <f t="shared" si="5"/>
        <v>0</v>
      </c>
    </row>
    <row r="17" spans="1:22" ht="18" hidden="1" customHeight="1">
      <c r="A17" s="653" t="s">
        <v>1477</v>
      </c>
      <c r="B17" s="653"/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S17" s="641">
        <f t="shared" si="3"/>
        <v>0</v>
      </c>
      <c r="T17" s="641">
        <f t="shared" si="4"/>
        <v>0</v>
      </c>
      <c r="V17" s="641">
        <f t="shared" si="5"/>
        <v>0</v>
      </c>
    </row>
    <row r="18" spans="1:22" ht="41.25" hidden="1" customHeight="1">
      <c r="A18" s="642">
        <v>1</v>
      </c>
      <c r="B18" s="642">
        <v>5</v>
      </c>
      <c r="C18" s="654" t="s">
        <v>1478</v>
      </c>
      <c r="D18" s="642">
        <v>84.873000000000005</v>
      </c>
      <c r="E18" s="2652" t="s">
        <v>1479</v>
      </c>
      <c r="F18" s="655"/>
      <c r="G18" s="656"/>
      <c r="H18" s="656"/>
      <c r="I18" s="656"/>
      <c r="J18" s="2653" t="s">
        <v>1480</v>
      </c>
      <c r="K18" s="657"/>
      <c r="L18" s="657"/>
      <c r="M18" s="644"/>
      <c r="N18" s="644"/>
      <c r="O18" s="644"/>
      <c r="P18" s="642"/>
      <c r="S18" s="641" t="str">
        <f t="shared" si="3"/>
        <v>547 Crores</v>
      </c>
      <c r="T18" s="641">
        <f t="shared" si="4"/>
        <v>0</v>
      </c>
    </row>
    <row r="19" spans="1:22" ht="47.25" hidden="1" customHeight="1">
      <c r="A19" s="642">
        <v>2</v>
      </c>
      <c r="B19" s="642">
        <v>6</v>
      </c>
      <c r="C19" s="654" t="s">
        <v>1481</v>
      </c>
      <c r="D19" s="642">
        <v>1380265</v>
      </c>
      <c r="E19" s="2652"/>
      <c r="F19" s="655"/>
      <c r="G19" s="656"/>
      <c r="H19" s="656"/>
      <c r="I19" s="656"/>
      <c r="J19" s="2653"/>
      <c r="K19" s="657"/>
      <c r="L19" s="657"/>
      <c r="M19" s="644"/>
      <c r="N19" s="644"/>
      <c r="O19" s="644"/>
      <c r="P19" s="642"/>
      <c r="S19" s="641">
        <f t="shared" si="3"/>
        <v>0</v>
      </c>
      <c r="T19" s="641">
        <f t="shared" si="4"/>
        <v>0</v>
      </c>
      <c r="V19" s="641">
        <f t="shared" si="5"/>
        <v>0</v>
      </c>
    </row>
    <row r="20" spans="1:22" ht="47.25" hidden="1" customHeight="1">
      <c r="A20" s="642">
        <v>3</v>
      </c>
      <c r="B20" s="642"/>
      <c r="C20" s="654" t="s">
        <v>1482</v>
      </c>
      <c r="D20" s="642">
        <v>11</v>
      </c>
      <c r="E20" s="2652"/>
      <c r="F20" s="655"/>
      <c r="G20" s="656"/>
      <c r="H20" s="656"/>
      <c r="I20" s="656"/>
      <c r="J20" s="2653"/>
      <c r="K20" s="657"/>
      <c r="L20" s="657"/>
      <c r="M20" s="644"/>
      <c r="N20" s="644"/>
      <c r="O20" s="644"/>
      <c r="P20" s="642"/>
      <c r="S20" s="641">
        <f t="shared" si="3"/>
        <v>0</v>
      </c>
      <c r="T20" s="641">
        <f t="shared" si="4"/>
        <v>0</v>
      </c>
      <c r="V20" s="641">
        <f t="shared" si="5"/>
        <v>0</v>
      </c>
    </row>
    <row r="21" spans="1:22" ht="47.25" hidden="1" customHeight="1">
      <c r="A21" s="642">
        <v>4</v>
      </c>
      <c r="B21" s="642"/>
      <c r="C21" s="654" t="s">
        <v>1483</v>
      </c>
      <c r="D21" s="642">
        <v>52.722000000000001</v>
      </c>
      <c r="E21" s="2652"/>
      <c r="F21" s="655"/>
      <c r="G21" s="656"/>
      <c r="H21" s="656"/>
      <c r="I21" s="656"/>
      <c r="J21" s="2653"/>
      <c r="K21" s="657"/>
      <c r="L21" s="657"/>
      <c r="M21" s="644"/>
      <c r="N21" s="644"/>
      <c r="O21" s="644"/>
      <c r="P21" s="642"/>
      <c r="S21" s="641">
        <f t="shared" si="3"/>
        <v>0</v>
      </c>
      <c r="T21" s="641">
        <f t="shared" si="4"/>
        <v>0</v>
      </c>
      <c r="V21" s="641">
        <f t="shared" si="5"/>
        <v>0</v>
      </c>
    </row>
    <row r="22" spans="1:22" ht="15.75" hidden="1" customHeight="1">
      <c r="A22" s="2654" t="s">
        <v>1484</v>
      </c>
      <c r="B22" s="2654"/>
      <c r="C22" s="2654"/>
      <c r="D22" s="642"/>
      <c r="E22" s="2652"/>
      <c r="F22" s="655"/>
      <c r="G22" s="656"/>
      <c r="H22" s="656"/>
      <c r="I22" s="656"/>
      <c r="J22" s="656"/>
      <c r="K22" s="656"/>
      <c r="L22" s="656"/>
      <c r="M22" s="644"/>
      <c r="N22" s="644"/>
      <c r="O22" s="644"/>
      <c r="P22" s="642"/>
      <c r="S22" s="641">
        <f t="shared" si="3"/>
        <v>0</v>
      </c>
      <c r="T22" s="641">
        <f t="shared" si="4"/>
        <v>0</v>
      </c>
      <c r="V22" s="641">
        <f t="shared" si="5"/>
        <v>0</v>
      </c>
    </row>
    <row r="23" spans="1:22" ht="15.75" hidden="1" customHeight="1">
      <c r="A23" s="658">
        <v>1</v>
      </c>
      <c r="B23" s="658"/>
      <c r="C23" s="658" t="s">
        <v>1485</v>
      </c>
      <c r="D23" s="642" t="s">
        <v>1486</v>
      </c>
      <c r="E23" s="2652"/>
      <c r="F23" s="655"/>
      <c r="G23" s="656"/>
      <c r="H23" s="656"/>
      <c r="I23" s="656"/>
      <c r="J23" s="656"/>
      <c r="K23" s="656"/>
      <c r="L23" s="656"/>
      <c r="M23" s="644"/>
      <c r="N23" s="644"/>
      <c r="O23" s="644"/>
      <c r="P23" s="642"/>
      <c r="S23" s="641">
        <f t="shared" si="3"/>
        <v>0</v>
      </c>
      <c r="T23" s="641">
        <f t="shared" si="4"/>
        <v>0</v>
      </c>
      <c r="V23" s="641">
        <f t="shared" si="5"/>
        <v>0</v>
      </c>
    </row>
    <row r="24" spans="1:22" ht="51" hidden="1" customHeight="1">
      <c r="A24" s="658">
        <v>2</v>
      </c>
      <c r="B24" s="658"/>
      <c r="C24" s="659" t="s">
        <v>1487</v>
      </c>
      <c r="D24" s="642" t="s">
        <v>1488</v>
      </c>
      <c r="E24" s="2652"/>
      <c r="F24" s="655"/>
      <c r="G24" s="656"/>
      <c r="H24" s="656"/>
      <c r="I24" s="656"/>
      <c r="J24" s="656"/>
      <c r="K24" s="656"/>
      <c r="L24" s="656"/>
      <c r="M24" s="644"/>
      <c r="N24" s="644"/>
      <c r="O24" s="644"/>
      <c r="P24" s="642"/>
      <c r="S24" s="641">
        <f t="shared" si="3"/>
        <v>0</v>
      </c>
      <c r="T24" s="641">
        <f t="shared" si="4"/>
        <v>0</v>
      </c>
      <c r="V24" s="641">
        <f t="shared" si="5"/>
        <v>0</v>
      </c>
    </row>
    <row r="25" spans="1:22" ht="70.5" hidden="1" customHeight="1">
      <c r="A25" s="658">
        <v>3</v>
      </c>
      <c r="B25" s="658"/>
      <c r="C25" s="659" t="s">
        <v>1489</v>
      </c>
      <c r="D25" s="642" t="s">
        <v>1490</v>
      </c>
      <c r="E25" s="2652"/>
      <c r="F25" s="655"/>
      <c r="G25" s="656"/>
      <c r="H25" s="656"/>
      <c r="I25" s="656"/>
      <c r="J25" s="656"/>
      <c r="K25" s="656"/>
      <c r="L25" s="656"/>
      <c r="M25" s="644"/>
      <c r="N25" s="644"/>
      <c r="O25" s="644"/>
      <c r="P25" s="642"/>
      <c r="S25" s="641">
        <f t="shared" si="3"/>
        <v>0</v>
      </c>
      <c r="T25" s="641">
        <f t="shared" si="4"/>
        <v>0</v>
      </c>
      <c r="V25" s="641">
        <f t="shared" si="5"/>
        <v>0</v>
      </c>
    </row>
    <row r="26" spans="1:22" ht="60" hidden="1" customHeight="1">
      <c r="A26" s="658">
        <v>4</v>
      </c>
      <c r="B26" s="658"/>
      <c r="C26" s="659" t="s">
        <v>1491</v>
      </c>
      <c r="D26" s="642" t="s">
        <v>1490</v>
      </c>
      <c r="E26" s="2652"/>
      <c r="F26" s="655"/>
      <c r="G26" s="656"/>
      <c r="H26" s="656"/>
      <c r="I26" s="656"/>
      <c r="J26" s="656"/>
      <c r="K26" s="656"/>
      <c r="L26" s="656"/>
      <c r="M26" s="644"/>
      <c r="N26" s="644"/>
      <c r="O26" s="644"/>
      <c r="P26" s="642"/>
      <c r="S26" s="641">
        <f t="shared" si="3"/>
        <v>0</v>
      </c>
      <c r="T26" s="641">
        <f t="shared" si="4"/>
        <v>0</v>
      </c>
      <c r="V26" s="641">
        <f t="shared" si="5"/>
        <v>0</v>
      </c>
    </row>
    <row r="27" spans="1:22" ht="60" hidden="1" customHeight="1">
      <c r="A27" s="642" t="s">
        <v>394</v>
      </c>
      <c r="B27" s="642" t="s">
        <v>1447</v>
      </c>
      <c r="C27" s="642" t="s">
        <v>1448</v>
      </c>
      <c r="D27" s="642" t="s">
        <v>1449</v>
      </c>
      <c r="E27" s="643" t="s">
        <v>1450</v>
      </c>
      <c r="F27" s="643"/>
      <c r="G27" s="642" t="s">
        <v>1451</v>
      </c>
      <c r="H27" s="642"/>
      <c r="I27" s="642"/>
      <c r="J27" s="644" t="s">
        <v>1452</v>
      </c>
      <c r="K27" s="644"/>
      <c r="L27" s="644"/>
      <c r="M27" s="644" t="s">
        <v>1453</v>
      </c>
      <c r="N27" s="644"/>
      <c r="O27" s="644"/>
      <c r="P27" s="642" t="s">
        <v>454</v>
      </c>
      <c r="S27" s="641" t="str">
        <f t="shared" si="3"/>
        <v>Total Estimated Cost</v>
      </c>
      <c r="T27" s="641">
        <f t="shared" si="4"/>
        <v>0</v>
      </c>
    </row>
    <row r="28" spans="1:22" ht="15.75" hidden="1" customHeight="1">
      <c r="A28" s="2648" t="s">
        <v>1492</v>
      </c>
      <c r="B28" s="2648"/>
      <c r="C28" s="2648"/>
      <c r="D28" s="2648"/>
      <c r="E28" s="2648"/>
      <c r="F28" s="2648"/>
      <c r="G28" s="2648"/>
      <c r="H28" s="2648"/>
      <c r="I28" s="2648"/>
      <c r="J28" s="2648"/>
      <c r="K28" s="2648"/>
      <c r="L28" s="2648"/>
      <c r="M28" s="2648"/>
      <c r="N28" s="2648"/>
      <c r="O28" s="2648"/>
      <c r="P28" s="2648"/>
      <c r="S28" s="641">
        <f t="shared" si="3"/>
        <v>0</v>
      </c>
      <c r="T28" s="641">
        <f t="shared" si="4"/>
        <v>0</v>
      </c>
      <c r="V28" s="641">
        <f t="shared" si="5"/>
        <v>0</v>
      </c>
    </row>
    <row r="29" spans="1:22" ht="10.5" hidden="1" customHeight="1">
      <c r="A29" s="653" t="s">
        <v>1477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O29" s="653"/>
      <c r="P29" s="653"/>
      <c r="S29" s="641">
        <f t="shared" si="3"/>
        <v>0</v>
      </c>
      <c r="T29" s="641">
        <f t="shared" si="4"/>
        <v>0</v>
      </c>
      <c r="V29" s="641">
        <f t="shared" si="5"/>
        <v>0</v>
      </c>
    </row>
    <row r="30" spans="1:22" ht="47.25" hidden="1" customHeight="1">
      <c r="A30" s="660">
        <v>1</v>
      </c>
      <c r="B30" s="659"/>
      <c r="C30" s="660" t="s">
        <v>1493</v>
      </c>
      <c r="D30" s="661">
        <v>163</v>
      </c>
      <c r="E30" s="2655" t="s">
        <v>1494</v>
      </c>
      <c r="F30" s="1222"/>
      <c r="G30" s="656"/>
      <c r="H30" s="656"/>
      <c r="I30" s="656"/>
      <c r="J30" s="2653" t="s">
        <v>1495</v>
      </c>
      <c r="K30" s="657"/>
      <c r="L30" s="657"/>
      <c r="M30" s="644"/>
      <c r="N30" s="644"/>
      <c r="O30" s="644"/>
      <c r="P30" s="642"/>
      <c r="S30" s="641" t="str">
        <f t="shared" si="3"/>
        <v>1350 Crores</v>
      </c>
      <c r="T30" s="641">
        <f t="shared" si="4"/>
        <v>0</v>
      </c>
    </row>
    <row r="31" spans="1:22" ht="46.5" hidden="1" customHeight="1">
      <c r="A31" s="662">
        <v>2</v>
      </c>
      <c r="B31" s="662"/>
      <c r="C31" s="662" t="s">
        <v>1496</v>
      </c>
      <c r="D31" s="661">
        <v>9</v>
      </c>
      <c r="E31" s="2656"/>
      <c r="F31" s="1223"/>
      <c r="G31" s="656"/>
      <c r="H31" s="656"/>
      <c r="I31" s="656"/>
      <c r="J31" s="2653"/>
      <c r="K31" s="657"/>
      <c r="L31" s="657"/>
      <c r="M31" s="644"/>
      <c r="N31" s="644"/>
      <c r="O31" s="644"/>
      <c r="P31" s="642"/>
      <c r="S31" s="641">
        <f t="shared" si="3"/>
        <v>0</v>
      </c>
      <c r="T31" s="641">
        <f t="shared" si="4"/>
        <v>0</v>
      </c>
      <c r="V31" s="641">
        <f t="shared" si="5"/>
        <v>0</v>
      </c>
    </row>
    <row r="32" spans="1:22" ht="29.25" hidden="1" customHeight="1">
      <c r="A32" s="662">
        <v>3</v>
      </c>
      <c r="B32" s="662"/>
      <c r="C32" s="662" t="s">
        <v>1497</v>
      </c>
      <c r="D32" s="661">
        <v>107</v>
      </c>
      <c r="E32" s="2656"/>
      <c r="F32" s="1223"/>
      <c r="G32" s="656"/>
      <c r="H32" s="656"/>
      <c r="I32" s="656"/>
      <c r="J32" s="2653"/>
      <c r="K32" s="657"/>
      <c r="L32" s="657"/>
      <c r="M32" s="644"/>
      <c r="N32" s="644"/>
      <c r="O32" s="644"/>
      <c r="P32" s="642"/>
      <c r="S32" s="641">
        <f t="shared" si="3"/>
        <v>0</v>
      </c>
      <c r="T32" s="641">
        <f t="shared" si="4"/>
        <v>0</v>
      </c>
      <c r="V32" s="641">
        <f t="shared" si="5"/>
        <v>0</v>
      </c>
    </row>
    <row r="33" spans="1:30" ht="30.75" hidden="1" customHeight="1">
      <c r="A33" s="662">
        <v>4</v>
      </c>
      <c r="B33" s="662"/>
      <c r="C33" s="662" t="s">
        <v>1498</v>
      </c>
      <c r="D33" s="661">
        <v>86</v>
      </c>
      <c r="E33" s="2656"/>
      <c r="F33" s="1223"/>
      <c r="G33" s="656"/>
      <c r="H33" s="656"/>
      <c r="I33" s="656"/>
      <c r="J33" s="2653"/>
      <c r="K33" s="657"/>
      <c r="L33" s="657"/>
      <c r="M33" s="644"/>
      <c r="N33" s="644"/>
      <c r="O33" s="644"/>
      <c r="P33" s="642"/>
      <c r="S33" s="641">
        <f t="shared" si="3"/>
        <v>0</v>
      </c>
      <c r="T33" s="641">
        <f t="shared" si="4"/>
        <v>0</v>
      </c>
      <c r="V33" s="641">
        <f t="shared" si="5"/>
        <v>0</v>
      </c>
    </row>
    <row r="34" spans="1:30" ht="28.5" hidden="1" customHeight="1">
      <c r="A34" s="662">
        <v>5</v>
      </c>
      <c r="B34" s="662"/>
      <c r="C34" s="662" t="s">
        <v>1499</v>
      </c>
      <c r="D34" s="661">
        <v>95</v>
      </c>
      <c r="E34" s="2656"/>
      <c r="F34" s="1223"/>
      <c r="G34" s="656"/>
      <c r="H34" s="656"/>
      <c r="I34" s="656"/>
      <c r="J34" s="2653"/>
      <c r="K34" s="657"/>
      <c r="L34" s="657"/>
      <c r="M34" s="644"/>
      <c r="N34" s="644"/>
      <c r="O34" s="644"/>
      <c r="P34" s="642"/>
      <c r="S34" s="641">
        <f t="shared" si="3"/>
        <v>0</v>
      </c>
      <c r="T34" s="641">
        <f t="shared" si="4"/>
        <v>0</v>
      </c>
      <c r="V34" s="641">
        <f t="shared" si="5"/>
        <v>0</v>
      </c>
    </row>
    <row r="35" spans="1:30" ht="29.25" hidden="1" customHeight="1">
      <c r="A35" s="662">
        <v>6</v>
      </c>
      <c r="B35" s="662"/>
      <c r="C35" s="662" t="s">
        <v>1500</v>
      </c>
      <c r="D35" s="661">
        <v>64</v>
      </c>
      <c r="E35" s="2656"/>
      <c r="F35" s="1223"/>
      <c r="G35" s="656"/>
      <c r="H35" s="656"/>
      <c r="I35" s="656"/>
      <c r="J35" s="2653"/>
      <c r="K35" s="657"/>
      <c r="L35" s="657"/>
      <c r="M35" s="644"/>
      <c r="N35" s="644"/>
      <c r="O35" s="644"/>
      <c r="P35" s="642"/>
      <c r="S35" s="641">
        <f t="shared" si="3"/>
        <v>0</v>
      </c>
      <c r="T35" s="641">
        <f t="shared" si="4"/>
        <v>0</v>
      </c>
      <c r="V35" s="641">
        <f t="shared" si="5"/>
        <v>0</v>
      </c>
    </row>
    <row r="36" spans="1:30" ht="16.5" hidden="1" customHeight="1">
      <c r="A36" s="2658" t="s">
        <v>1484</v>
      </c>
      <c r="B36" s="2658"/>
      <c r="C36" s="2658"/>
      <c r="D36" s="663"/>
      <c r="E36" s="2656"/>
      <c r="F36" s="1223"/>
      <c r="G36" s="656"/>
      <c r="H36" s="656"/>
      <c r="I36" s="656"/>
      <c r="J36" s="2653"/>
      <c r="K36" s="657"/>
      <c r="L36" s="657"/>
      <c r="M36" s="644"/>
      <c r="N36" s="644"/>
      <c r="O36" s="644"/>
      <c r="P36" s="642"/>
      <c r="S36" s="641">
        <f t="shared" si="3"/>
        <v>0</v>
      </c>
      <c r="T36" s="641">
        <f t="shared" si="4"/>
        <v>0</v>
      </c>
      <c r="V36" s="641">
        <f t="shared" si="5"/>
        <v>0</v>
      </c>
    </row>
    <row r="37" spans="1:30" ht="33" hidden="1" customHeight="1">
      <c r="A37" s="662">
        <v>1</v>
      </c>
      <c r="B37" s="662"/>
      <c r="C37" s="662" t="s">
        <v>1501</v>
      </c>
      <c r="D37" s="663" t="s">
        <v>1502</v>
      </c>
      <c r="E37" s="2656"/>
      <c r="F37" s="1223"/>
      <c r="G37" s="656"/>
      <c r="H37" s="656"/>
      <c r="I37" s="656"/>
      <c r="J37" s="2653"/>
      <c r="K37" s="657"/>
      <c r="L37" s="657"/>
      <c r="M37" s="644"/>
      <c r="N37" s="644"/>
      <c r="O37" s="644"/>
      <c r="P37" s="642"/>
      <c r="S37" s="641">
        <f t="shared" si="3"/>
        <v>0</v>
      </c>
      <c r="T37" s="641">
        <f t="shared" si="4"/>
        <v>0</v>
      </c>
      <c r="V37" s="641">
        <f t="shared" si="5"/>
        <v>0</v>
      </c>
    </row>
    <row r="38" spans="1:30" ht="30.75" hidden="1" customHeight="1">
      <c r="A38" s="662">
        <v>2</v>
      </c>
      <c r="B38" s="662"/>
      <c r="C38" s="662" t="s">
        <v>1503</v>
      </c>
      <c r="D38" s="663" t="s">
        <v>1502</v>
      </c>
      <c r="E38" s="2656"/>
      <c r="F38" s="1223"/>
      <c r="G38" s="656"/>
      <c r="H38" s="656"/>
      <c r="I38" s="656"/>
      <c r="J38" s="2653"/>
      <c r="K38" s="657"/>
      <c r="L38" s="657"/>
      <c r="M38" s="644"/>
      <c r="N38" s="644"/>
      <c r="O38" s="644"/>
      <c r="P38" s="642"/>
      <c r="S38" s="641">
        <f t="shared" si="3"/>
        <v>0</v>
      </c>
      <c r="T38" s="641">
        <f t="shared" si="4"/>
        <v>0</v>
      </c>
      <c r="V38" s="641">
        <f t="shared" si="5"/>
        <v>0</v>
      </c>
    </row>
    <row r="39" spans="1:30" ht="27" hidden="1" customHeight="1">
      <c r="A39" s="662">
        <v>3</v>
      </c>
      <c r="B39" s="662"/>
      <c r="C39" s="662" t="s">
        <v>1504</v>
      </c>
      <c r="D39" s="663" t="s">
        <v>1502</v>
      </c>
      <c r="E39" s="2656"/>
      <c r="F39" s="1223"/>
      <c r="G39" s="656"/>
      <c r="H39" s="656"/>
      <c r="I39" s="656"/>
      <c r="J39" s="2653"/>
      <c r="K39" s="657"/>
      <c r="L39" s="657"/>
      <c r="M39" s="644"/>
      <c r="N39" s="644"/>
      <c r="O39" s="644"/>
      <c r="P39" s="642"/>
      <c r="S39" s="641">
        <f t="shared" si="3"/>
        <v>0</v>
      </c>
      <c r="T39" s="641">
        <f t="shared" si="4"/>
        <v>0</v>
      </c>
      <c r="V39" s="641">
        <f t="shared" si="5"/>
        <v>0</v>
      </c>
    </row>
    <row r="40" spans="1:30" ht="30" hidden="1" customHeight="1">
      <c r="A40" s="662">
        <v>4</v>
      </c>
      <c r="B40" s="662"/>
      <c r="C40" s="662" t="s">
        <v>1505</v>
      </c>
      <c r="D40" s="663" t="s">
        <v>1486</v>
      </c>
      <c r="E40" s="2656"/>
      <c r="F40" s="1223"/>
      <c r="G40" s="656"/>
      <c r="H40" s="656"/>
      <c r="I40" s="656"/>
      <c r="J40" s="2653"/>
      <c r="K40" s="657"/>
      <c r="L40" s="657"/>
      <c r="M40" s="644"/>
      <c r="N40" s="644"/>
      <c r="O40" s="644"/>
      <c r="P40" s="642"/>
      <c r="S40" s="641">
        <f t="shared" si="3"/>
        <v>0</v>
      </c>
      <c r="T40" s="641">
        <f t="shared" si="4"/>
        <v>0</v>
      </c>
      <c r="V40" s="641">
        <f t="shared" si="5"/>
        <v>0</v>
      </c>
    </row>
    <row r="41" spans="1:30" ht="30" hidden="1" customHeight="1">
      <c r="A41" s="662">
        <v>5</v>
      </c>
      <c r="B41" s="662"/>
      <c r="C41" s="662" t="s">
        <v>1506</v>
      </c>
      <c r="D41" s="663" t="s">
        <v>1507</v>
      </c>
      <c r="E41" s="2656"/>
      <c r="F41" s="1223"/>
      <c r="G41" s="656"/>
      <c r="H41" s="656"/>
      <c r="I41" s="656"/>
      <c r="J41" s="2653"/>
      <c r="K41" s="657"/>
      <c r="L41" s="657"/>
      <c r="M41" s="644"/>
      <c r="N41" s="644"/>
      <c r="O41" s="644"/>
      <c r="P41" s="642"/>
      <c r="S41" s="641">
        <f t="shared" si="3"/>
        <v>0</v>
      </c>
      <c r="T41" s="641">
        <f t="shared" si="4"/>
        <v>0</v>
      </c>
      <c r="V41" s="641">
        <f t="shared" si="5"/>
        <v>0</v>
      </c>
    </row>
    <row r="42" spans="1:30" ht="36" hidden="1" customHeight="1">
      <c r="A42" s="662">
        <v>6</v>
      </c>
      <c r="B42" s="662"/>
      <c r="C42" s="662" t="s">
        <v>1508</v>
      </c>
      <c r="D42" s="663" t="s">
        <v>1507</v>
      </c>
      <c r="E42" s="2657"/>
      <c r="F42" s="1224"/>
      <c r="G42" s="656"/>
      <c r="H42" s="656"/>
      <c r="I42" s="656"/>
      <c r="J42" s="2653"/>
      <c r="K42" s="657"/>
      <c r="L42" s="657"/>
      <c r="M42" s="644"/>
      <c r="N42" s="644"/>
      <c r="O42" s="644"/>
      <c r="P42" s="642"/>
      <c r="S42" s="641">
        <f t="shared" si="3"/>
        <v>0</v>
      </c>
      <c r="T42" s="641">
        <f t="shared" si="4"/>
        <v>0</v>
      </c>
      <c r="V42" s="641">
        <f t="shared" si="5"/>
        <v>0</v>
      </c>
      <c r="Y42" s="1237" t="s">
        <v>1751</v>
      </c>
      <c r="Z42" s="1237" t="s">
        <v>1752</v>
      </c>
    </row>
    <row r="43" spans="1:30" ht="55.5" customHeight="1">
      <c r="A43" s="642" t="s">
        <v>394</v>
      </c>
      <c r="B43" s="642" t="s">
        <v>1447</v>
      </c>
      <c r="C43" s="642" t="s">
        <v>1448</v>
      </c>
      <c r="D43" s="642" t="s">
        <v>1449</v>
      </c>
      <c r="E43" s="643" t="s">
        <v>1450</v>
      </c>
      <c r="F43" s="643"/>
      <c r="G43" s="642" t="s">
        <v>1451</v>
      </c>
      <c r="H43" s="642"/>
      <c r="I43" s="642"/>
      <c r="J43" s="644" t="s">
        <v>1452</v>
      </c>
      <c r="K43" s="644"/>
      <c r="L43" s="644"/>
      <c r="M43" s="644" t="s">
        <v>1453</v>
      </c>
      <c r="N43" s="644"/>
      <c r="O43" s="644"/>
      <c r="P43" s="642" t="s">
        <v>454</v>
      </c>
      <c r="S43" s="641" t="str">
        <f t="shared" si="3"/>
        <v>Total Estimated Cost</v>
      </c>
      <c r="T43" s="641">
        <f t="shared" si="4"/>
        <v>0</v>
      </c>
      <c r="Y43" s="1237" t="s">
        <v>2446</v>
      </c>
      <c r="Z43" s="1237" t="s">
        <v>2446</v>
      </c>
    </row>
    <row r="44" spans="1:30" ht="12.75" customHeight="1">
      <c r="A44" s="2645" t="s">
        <v>1454</v>
      </c>
      <c r="B44" s="2645"/>
      <c r="C44" s="2645"/>
      <c r="D44" s="2645"/>
      <c r="E44" s="2645"/>
      <c r="F44" s="2645"/>
      <c r="G44" s="2645"/>
      <c r="H44" s="2645"/>
      <c r="I44" s="2645"/>
      <c r="J44" s="2645"/>
      <c r="K44" s="2645"/>
      <c r="L44" s="2645"/>
      <c r="M44" s="2645"/>
      <c r="N44" s="2645"/>
      <c r="O44" s="2645"/>
      <c r="P44" s="2645"/>
      <c r="S44" s="641">
        <f t="shared" si="3"/>
        <v>0</v>
      </c>
      <c r="T44" s="641">
        <f t="shared" si="4"/>
        <v>0</v>
      </c>
      <c r="V44" s="641">
        <f t="shared" si="5"/>
        <v>0</v>
      </c>
      <c r="Y44" s="1237" t="s">
        <v>2447</v>
      </c>
    </row>
    <row r="45" spans="1:30" ht="38.25" customHeight="1">
      <c r="A45" s="652">
        <v>1</v>
      </c>
      <c r="B45" s="646" t="s">
        <v>1509</v>
      </c>
      <c r="C45" s="646" t="s">
        <v>1510</v>
      </c>
      <c r="D45" s="647">
        <v>11.798</v>
      </c>
      <c r="E45" s="647">
        <v>314.2</v>
      </c>
      <c r="F45" s="647">
        <v>0</v>
      </c>
      <c r="G45" s="647">
        <v>67.98</v>
      </c>
      <c r="H45" s="664">
        <v>0</v>
      </c>
      <c r="I45" s="647">
        <f>F45+G45-H45</f>
        <v>67.98</v>
      </c>
      <c r="J45" s="647">
        <v>246.22</v>
      </c>
      <c r="K45" s="647">
        <v>314.2</v>
      </c>
      <c r="L45" s="647">
        <f>I45+J45-K45</f>
        <v>0</v>
      </c>
      <c r="M45" s="647">
        <v>0</v>
      </c>
      <c r="N45" s="647">
        <v>0</v>
      </c>
      <c r="O45" s="647">
        <f>L45+M45-N45</f>
        <v>0</v>
      </c>
      <c r="P45" s="646" t="s">
        <v>1511</v>
      </c>
      <c r="S45" s="641">
        <f t="shared" si="3"/>
        <v>314.2</v>
      </c>
      <c r="T45" s="641">
        <f t="shared" si="4"/>
        <v>696.38</v>
      </c>
      <c r="V45" s="641">
        <f t="shared" si="5"/>
        <v>-382.18</v>
      </c>
      <c r="Y45" s="641">
        <f>SUM(G45:J45)</f>
        <v>382.18</v>
      </c>
      <c r="AB45" s="1205">
        <v>314.2</v>
      </c>
      <c r="AC45" s="1205"/>
    </row>
    <row r="46" spans="1:30" ht="24.75" customHeight="1">
      <c r="A46" s="652">
        <v>2</v>
      </c>
      <c r="B46" s="646" t="s">
        <v>1512</v>
      </c>
      <c r="C46" s="646" t="s">
        <v>1513</v>
      </c>
      <c r="D46" s="647">
        <v>8.468</v>
      </c>
      <c r="E46" s="647">
        <v>188.52</v>
      </c>
      <c r="F46" s="647">
        <v>0</v>
      </c>
      <c r="G46" s="647">
        <v>88.56</v>
      </c>
      <c r="H46" s="664">
        <v>0</v>
      </c>
      <c r="I46" s="647">
        <f>F46+G46-H46</f>
        <v>88.56</v>
      </c>
      <c r="J46" s="647">
        <v>99.96</v>
      </c>
      <c r="K46" s="647">
        <v>188.51999999999998</v>
      </c>
      <c r="L46" s="647">
        <f t="shared" ref="L46:L96" si="7">I46+J46-K46</f>
        <v>0</v>
      </c>
      <c r="M46" s="647">
        <v>0</v>
      </c>
      <c r="N46" s="647">
        <v>0</v>
      </c>
      <c r="O46" s="647">
        <f t="shared" ref="O46:O92" si="8">L46+M46-N46</f>
        <v>0</v>
      </c>
      <c r="P46" s="646" t="s">
        <v>1511</v>
      </c>
      <c r="S46" s="641">
        <f t="shared" si="3"/>
        <v>188.52</v>
      </c>
      <c r="T46" s="641">
        <f t="shared" si="4"/>
        <v>465.59999999999997</v>
      </c>
      <c r="V46" s="641">
        <f t="shared" si="5"/>
        <v>-277.07999999999993</v>
      </c>
      <c r="Y46" s="641">
        <f>SUM(G46:J46)</f>
        <v>277.08</v>
      </c>
      <c r="AB46" s="1205">
        <v>188.51999999999998</v>
      </c>
      <c r="AC46" s="1205"/>
      <c r="AD46" s="1205"/>
    </row>
    <row r="47" spans="1:30" ht="40.5" customHeight="1">
      <c r="A47" s="652"/>
      <c r="B47" s="664"/>
      <c r="C47" s="646" t="s">
        <v>1514</v>
      </c>
      <c r="D47" s="665">
        <v>18</v>
      </c>
      <c r="E47" s="647">
        <v>471</v>
      </c>
      <c r="F47" s="647">
        <v>0</v>
      </c>
      <c r="G47" s="647">
        <v>0</v>
      </c>
      <c r="H47" s="664">
        <v>0</v>
      </c>
      <c r="I47" s="647">
        <f t="shared" ref="I47:I92" si="9">F47+G47-H47</f>
        <v>0</v>
      </c>
      <c r="J47" s="666">
        <v>0</v>
      </c>
      <c r="K47" s="647">
        <v>0</v>
      </c>
      <c r="L47" s="647">
        <f t="shared" si="7"/>
        <v>0</v>
      </c>
      <c r="M47" s="667">
        <v>471</v>
      </c>
      <c r="N47" s="667">
        <v>471</v>
      </c>
      <c r="O47" s="647">
        <f t="shared" si="8"/>
        <v>0</v>
      </c>
      <c r="P47" s="646" t="s">
        <v>1515</v>
      </c>
      <c r="S47" s="641">
        <f t="shared" si="3"/>
        <v>471</v>
      </c>
      <c r="T47" s="641">
        <f t="shared" si="4"/>
        <v>471</v>
      </c>
      <c r="V47" s="641">
        <f t="shared" si="5"/>
        <v>0</v>
      </c>
      <c r="Z47" s="641">
        <f>M47</f>
        <v>471</v>
      </c>
      <c r="AB47" s="1205"/>
      <c r="AC47" s="1205">
        <v>471</v>
      </c>
      <c r="AD47" s="1205"/>
    </row>
    <row r="48" spans="1:30" ht="48" customHeight="1">
      <c r="A48" s="652">
        <v>3</v>
      </c>
      <c r="B48" s="646" t="s">
        <v>1516</v>
      </c>
      <c r="C48" s="646" t="s">
        <v>1517</v>
      </c>
      <c r="D48" s="647">
        <v>11.907</v>
      </c>
      <c r="E48" s="647">
        <v>471.3</v>
      </c>
      <c r="F48" s="647">
        <v>0</v>
      </c>
      <c r="G48" s="647">
        <v>28.07</v>
      </c>
      <c r="H48" s="664">
        <v>0</v>
      </c>
      <c r="I48" s="647">
        <f t="shared" si="9"/>
        <v>28.07</v>
      </c>
      <c r="J48" s="647">
        <v>400</v>
      </c>
      <c r="K48" s="647">
        <v>0</v>
      </c>
      <c r="L48" s="647">
        <f t="shared" si="7"/>
        <v>428.07</v>
      </c>
      <c r="M48" s="647">
        <v>43.23</v>
      </c>
      <c r="N48" s="647">
        <v>471.3</v>
      </c>
      <c r="O48" s="647">
        <f t="shared" si="8"/>
        <v>0</v>
      </c>
      <c r="P48" s="646" t="s">
        <v>1518</v>
      </c>
      <c r="S48" s="641">
        <f t="shared" si="3"/>
        <v>471.3</v>
      </c>
      <c r="T48" s="641">
        <f t="shared" si="4"/>
        <v>927.44</v>
      </c>
      <c r="V48" s="641">
        <f t="shared" si="5"/>
        <v>-456.14000000000004</v>
      </c>
      <c r="Z48" s="1205">
        <f>SUM(G48:M48)</f>
        <v>927.44</v>
      </c>
      <c r="AB48" s="1205"/>
      <c r="AC48" s="1205">
        <v>471.3</v>
      </c>
      <c r="AD48" s="1205"/>
    </row>
    <row r="49" spans="1:30" ht="51.75" customHeight="1">
      <c r="A49" s="652">
        <v>4</v>
      </c>
      <c r="B49" s="646" t="s">
        <v>1519</v>
      </c>
      <c r="C49" s="646" t="s">
        <v>1520</v>
      </c>
      <c r="D49" s="647">
        <v>5.9050000000000002</v>
      </c>
      <c r="E49" s="647">
        <v>628.4</v>
      </c>
      <c r="F49" s="647">
        <v>0</v>
      </c>
      <c r="G49" s="647">
        <v>0.94</v>
      </c>
      <c r="H49" s="664">
        <v>0</v>
      </c>
      <c r="I49" s="647">
        <f t="shared" si="9"/>
        <v>0.94</v>
      </c>
      <c r="J49" s="647">
        <v>450</v>
      </c>
      <c r="K49" s="647">
        <v>0</v>
      </c>
      <c r="L49" s="647">
        <f t="shared" si="7"/>
        <v>450.94</v>
      </c>
      <c r="M49" s="647">
        <v>177.46</v>
      </c>
      <c r="N49" s="647">
        <v>628.4</v>
      </c>
      <c r="O49" s="647">
        <f t="shared" si="8"/>
        <v>0</v>
      </c>
      <c r="P49" s="646" t="s">
        <v>1521</v>
      </c>
      <c r="S49" s="641">
        <f t="shared" si="3"/>
        <v>628.4</v>
      </c>
      <c r="T49" s="641">
        <f t="shared" si="4"/>
        <v>1080.28</v>
      </c>
      <c r="V49" s="641">
        <f t="shared" si="5"/>
        <v>-451.88</v>
      </c>
      <c r="Z49" s="641">
        <f>SUM(G49:M49)</f>
        <v>1080.28</v>
      </c>
      <c r="AB49" s="1205"/>
      <c r="AC49" s="1205">
        <v>628.4</v>
      </c>
      <c r="AD49" s="1205"/>
    </row>
    <row r="50" spans="1:30" ht="40.5" customHeight="1">
      <c r="A50" s="652">
        <v>5</v>
      </c>
      <c r="B50" s="646" t="s">
        <v>1522</v>
      </c>
      <c r="C50" s="646" t="s">
        <v>1523</v>
      </c>
      <c r="D50" s="647">
        <v>28.366</v>
      </c>
      <c r="E50" s="647">
        <v>785.5</v>
      </c>
      <c r="F50" s="647">
        <v>0</v>
      </c>
      <c r="G50" s="647">
        <v>148.04</v>
      </c>
      <c r="H50" s="664">
        <v>0</v>
      </c>
      <c r="I50" s="647">
        <f t="shared" si="9"/>
        <v>148.04</v>
      </c>
      <c r="J50" s="647">
        <v>600</v>
      </c>
      <c r="K50" s="647">
        <v>0</v>
      </c>
      <c r="L50" s="647">
        <f t="shared" si="7"/>
        <v>748.04</v>
      </c>
      <c r="M50" s="647">
        <v>37.46</v>
      </c>
      <c r="N50" s="647">
        <v>785.5</v>
      </c>
      <c r="O50" s="647">
        <f t="shared" si="8"/>
        <v>0</v>
      </c>
      <c r="P50" s="646" t="s">
        <v>1511</v>
      </c>
      <c r="S50" s="641">
        <f t="shared" si="3"/>
        <v>785.5</v>
      </c>
      <c r="T50" s="641">
        <f t="shared" si="4"/>
        <v>1681.58</v>
      </c>
      <c r="V50" s="641">
        <f t="shared" si="5"/>
        <v>-896.07999999999993</v>
      </c>
      <c r="Z50" s="641">
        <f>SUM(G50:M50)</f>
        <v>1681.58</v>
      </c>
      <c r="AB50" s="1205"/>
      <c r="AC50" s="1205">
        <v>785.5</v>
      </c>
      <c r="AD50" s="1205"/>
    </row>
    <row r="51" spans="1:30" ht="54" customHeight="1">
      <c r="A51" s="652">
        <v>6</v>
      </c>
      <c r="B51" s="646" t="s">
        <v>1516</v>
      </c>
      <c r="C51" s="646" t="s">
        <v>1524</v>
      </c>
      <c r="D51" s="652">
        <v>4.9809999999999999</v>
      </c>
      <c r="E51" s="647">
        <v>47.13</v>
      </c>
      <c r="F51" s="647">
        <v>0</v>
      </c>
      <c r="G51" s="652">
        <v>20.25</v>
      </c>
      <c r="H51" s="664">
        <v>0</v>
      </c>
      <c r="I51" s="647">
        <f t="shared" si="9"/>
        <v>20.25</v>
      </c>
      <c r="J51" s="652">
        <v>26.88</v>
      </c>
      <c r="K51" s="652">
        <v>47.129999999999995</v>
      </c>
      <c r="L51" s="647">
        <f t="shared" si="7"/>
        <v>0</v>
      </c>
      <c r="M51" s="652">
        <v>0</v>
      </c>
      <c r="N51" s="652"/>
      <c r="O51" s="647">
        <f t="shared" si="8"/>
        <v>0</v>
      </c>
      <c r="P51" s="646" t="s">
        <v>1525</v>
      </c>
      <c r="S51" s="641">
        <f t="shared" si="3"/>
        <v>47.13</v>
      </c>
      <c r="T51" s="641">
        <f t="shared" si="4"/>
        <v>114.50999999999999</v>
      </c>
      <c r="V51" s="641">
        <f t="shared" si="5"/>
        <v>-67.38</v>
      </c>
      <c r="Y51" s="641">
        <f>SUM(G51:J51)</f>
        <v>67.38</v>
      </c>
      <c r="AB51" s="1205">
        <v>47.129999999999995</v>
      </c>
      <c r="AC51" s="1205"/>
      <c r="AD51" s="1205"/>
    </row>
    <row r="52" spans="1:30" ht="51" customHeight="1">
      <c r="A52" s="652"/>
      <c r="B52" s="646" t="s">
        <v>1516</v>
      </c>
      <c r="C52" s="646" t="s">
        <v>1526</v>
      </c>
      <c r="D52" s="668">
        <v>35</v>
      </c>
      <c r="E52" s="669">
        <v>1099.7</v>
      </c>
      <c r="F52" s="647">
        <v>0</v>
      </c>
      <c r="G52" s="652">
        <v>0</v>
      </c>
      <c r="H52" s="664">
        <v>0</v>
      </c>
      <c r="I52" s="647">
        <f t="shared" si="9"/>
        <v>0</v>
      </c>
      <c r="J52" s="646">
        <v>0</v>
      </c>
      <c r="K52" s="652">
        <v>0</v>
      </c>
      <c r="L52" s="647">
        <f t="shared" si="7"/>
        <v>0</v>
      </c>
      <c r="M52" s="646">
        <v>16850</v>
      </c>
      <c r="N52" s="646">
        <v>1099.7</v>
      </c>
      <c r="O52" s="647">
        <f t="shared" si="8"/>
        <v>15750.3</v>
      </c>
      <c r="P52" s="646" t="s">
        <v>1515</v>
      </c>
      <c r="S52" s="641">
        <f t="shared" si="3"/>
        <v>1099.7</v>
      </c>
      <c r="T52" s="641">
        <f t="shared" si="4"/>
        <v>16850</v>
      </c>
      <c r="V52" s="641">
        <f t="shared" si="5"/>
        <v>-15750.3</v>
      </c>
      <c r="Z52" s="641">
        <f>M52</f>
        <v>16850</v>
      </c>
      <c r="AB52" s="1205"/>
      <c r="AC52" s="1205">
        <v>1099.7</v>
      </c>
      <c r="AD52" s="1205"/>
    </row>
    <row r="53" spans="1:30" ht="38.25" customHeight="1">
      <c r="A53" s="652">
        <v>7</v>
      </c>
      <c r="B53" s="670" t="s">
        <v>1527</v>
      </c>
      <c r="C53" s="671" t="s">
        <v>1528</v>
      </c>
      <c r="D53" s="668">
        <v>35</v>
      </c>
      <c r="E53" s="664">
        <v>743</v>
      </c>
      <c r="F53" s="647">
        <v>0</v>
      </c>
      <c r="G53" s="664">
        <v>0</v>
      </c>
      <c r="H53" s="664">
        <v>0</v>
      </c>
      <c r="I53" s="647">
        <f t="shared" si="9"/>
        <v>0</v>
      </c>
      <c r="J53" s="672">
        <v>300</v>
      </c>
      <c r="K53" s="664">
        <v>0</v>
      </c>
      <c r="L53" s="647">
        <f t="shared" si="7"/>
        <v>300</v>
      </c>
      <c r="M53" s="672">
        <v>443</v>
      </c>
      <c r="N53" s="672">
        <v>743</v>
      </c>
      <c r="O53" s="647">
        <f t="shared" si="8"/>
        <v>0</v>
      </c>
      <c r="P53" s="646" t="s">
        <v>1529</v>
      </c>
      <c r="S53" s="641">
        <f t="shared" si="3"/>
        <v>743</v>
      </c>
      <c r="T53" s="641">
        <f t="shared" si="4"/>
        <v>1043</v>
      </c>
      <c r="V53" s="641">
        <f t="shared" si="5"/>
        <v>-300</v>
      </c>
      <c r="Z53" s="641">
        <f>SUM(J53:M53)</f>
        <v>1043</v>
      </c>
      <c r="AB53" s="1205"/>
      <c r="AC53" s="1205">
        <v>743</v>
      </c>
      <c r="AD53" s="1205"/>
    </row>
    <row r="54" spans="1:30" ht="30" customHeight="1">
      <c r="A54" s="652">
        <v>8</v>
      </c>
      <c r="B54" s="1225" t="s">
        <v>1530</v>
      </c>
      <c r="C54" s="671" t="s">
        <v>1531</v>
      </c>
      <c r="D54" s="673">
        <v>35.65</v>
      </c>
      <c r="E54" s="674">
        <v>431</v>
      </c>
      <c r="F54" s="647">
        <v>0</v>
      </c>
      <c r="G54" s="1225">
        <v>0.01</v>
      </c>
      <c r="H54" s="664">
        <v>0</v>
      </c>
      <c r="I54" s="647">
        <f t="shared" si="9"/>
        <v>0.01</v>
      </c>
      <c r="J54" s="670">
        <v>415.99</v>
      </c>
      <c r="K54" s="1225">
        <v>0</v>
      </c>
      <c r="L54" s="647">
        <f t="shared" si="7"/>
        <v>416</v>
      </c>
      <c r="M54" s="670">
        <v>0</v>
      </c>
      <c r="N54" s="670">
        <v>0</v>
      </c>
      <c r="O54" s="647">
        <f t="shared" si="8"/>
        <v>416</v>
      </c>
      <c r="P54" s="646" t="s">
        <v>1532</v>
      </c>
      <c r="S54" s="641">
        <f t="shared" si="3"/>
        <v>431</v>
      </c>
      <c r="T54" s="641">
        <f t="shared" si="4"/>
        <v>832.01</v>
      </c>
      <c r="V54" s="641">
        <f t="shared" si="5"/>
        <v>-401.01</v>
      </c>
      <c r="AB54" s="1205"/>
      <c r="AC54" s="1205"/>
      <c r="AD54" s="1205"/>
    </row>
    <row r="55" spans="1:30" ht="30" customHeight="1">
      <c r="A55" s="642" t="s">
        <v>394</v>
      </c>
      <c r="B55" s="642" t="s">
        <v>1447</v>
      </c>
      <c r="C55" s="642" t="s">
        <v>1448</v>
      </c>
      <c r="D55" s="642" t="s">
        <v>1449</v>
      </c>
      <c r="E55" s="643" t="s">
        <v>1450</v>
      </c>
      <c r="F55" s="643"/>
      <c r="G55" s="642" t="s">
        <v>1451</v>
      </c>
      <c r="H55" s="664"/>
      <c r="I55" s="642"/>
      <c r="J55" s="644" t="s">
        <v>1452</v>
      </c>
      <c r="K55" s="642"/>
      <c r="L55" s="647"/>
      <c r="M55" s="644" t="s">
        <v>1453</v>
      </c>
      <c r="N55" s="644"/>
      <c r="O55" s="647"/>
      <c r="P55" s="642" t="s">
        <v>454</v>
      </c>
      <c r="S55" s="641" t="str">
        <f t="shared" si="3"/>
        <v>Total Estimated Cost</v>
      </c>
      <c r="T55" s="641">
        <f t="shared" si="4"/>
        <v>0</v>
      </c>
      <c r="AB55" s="1205"/>
      <c r="AC55" s="1205"/>
      <c r="AD55" s="1205"/>
    </row>
    <row r="56" spans="1:30" ht="27" customHeight="1">
      <c r="A56" s="652">
        <v>9</v>
      </c>
      <c r="B56" s="646" t="s">
        <v>1533</v>
      </c>
      <c r="C56" s="646" t="s">
        <v>1534</v>
      </c>
      <c r="D56" s="646">
        <v>18.995000000000001</v>
      </c>
      <c r="E56" s="646">
        <v>743</v>
      </c>
      <c r="F56" s="647">
        <v>0</v>
      </c>
      <c r="G56" s="646">
        <v>0</v>
      </c>
      <c r="H56" s="664">
        <v>0</v>
      </c>
      <c r="I56" s="647">
        <f t="shared" si="9"/>
        <v>0</v>
      </c>
      <c r="J56" s="647">
        <v>743</v>
      </c>
      <c r="K56" s="646">
        <v>743</v>
      </c>
      <c r="L56" s="647">
        <f t="shared" si="7"/>
        <v>0</v>
      </c>
      <c r="M56" s="647">
        <v>0</v>
      </c>
      <c r="N56" s="647">
        <v>0</v>
      </c>
      <c r="O56" s="647">
        <f t="shared" si="8"/>
        <v>0</v>
      </c>
      <c r="P56" s="646" t="s">
        <v>1511</v>
      </c>
      <c r="S56" s="641">
        <f t="shared" si="3"/>
        <v>743</v>
      </c>
      <c r="T56" s="641">
        <f t="shared" si="4"/>
        <v>1486</v>
      </c>
      <c r="V56" s="641">
        <f t="shared" si="5"/>
        <v>-743</v>
      </c>
      <c r="Y56" s="641">
        <f>J56</f>
        <v>743</v>
      </c>
      <c r="AB56" s="1205">
        <v>743</v>
      </c>
      <c r="AC56" s="1205"/>
      <c r="AD56" s="1205"/>
    </row>
    <row r="57" spans="1:30" ht="41.25" customHeight="1">
      <c r="A57" s="652">
        <v>10</v>
      </c>
      <c r="B57" s="664" t="s">
        <v>1535</v>
      </c>
      <c r="C57" s="646" t="s">
        <v>1536</v>
      </c>
      <c r="D57" s="675">
        <v>15</v>
      </c>
      <c r="E57" s="646">
        <v>743</v>
      </c>
      <c r="F57" s="647">
        <v>0</v>
      </c>
      <c r="G57" s="646">
        <v>0</v>
      </c>
      <c r="H57" s="664">
        <v>0</v>
      </c>
      <c r="I57" s="647">
        <f t="shared" si="9"/>
        <v>0</v>
      </c>
      <c r="J57" s="647">
        <v>0</v>
      </c>
      <c r="K57" s="646">
        <v>0</v>
      </c>
      <c r="L57" s="647">
        <f t="shared" si="7"/>
        <v>0</v>
      </c>
      <c r="M57" s="647">
        <v>743</v>
      </c>
      <c r="N57" s="647">
        <v>743</v>
      </c>
      <c r="O57" s="647">
        <f t="shared" si="8"/>
        <v>0</v>
      </c>
      <c r="P57" s="646"/>
      <c r="S57" s="641">
        <f t="shared" si="3"/>
        <v>743</v>
      </c>
      <c r="T57" s="641">
        <f t="shared" si="4"/>
        <v>743</v>
      </c>
      <c r="V57" s="641">
        <f t="shared" si="5"/>
        <v>0</v>
      </c>
      <c r="Z57" s="641">
        <f>M57</f>
        <v>743</v>
      </c>
      <c r="AB57" s="1205"/>
      <c r="AC57" s="1205">
        <v>743</v>
      </c>
      <c r="AD57" s="1205"/>
    </row>
    <row r="58" spans="1:30" ht="25.5" customHeight="1">
      <c r="A58" s="664">
        <v>11</v>
      </c>
      <c r="B58" s="664" t="s">
        <v>1535</v>
      </c>
      <c r="C58" s="671" t="s">
        <v>1537</v>
      </c>
      <c r="D58" s="1225">
        <v>28.059000000000001</v>
      </c>
      <c r="E58" s="670">
        <v>558</v>
      </c>
      <c r="F58" s="647">
        <v>0</v>
      </c>
      <c r="G58" s="1225">
        <v>0</v>
      </c>
      <c r="H58" s="664">
        <v>0</v>
      </c>
      <c r="I58" s="647">
        <f t="shared" si="9"/>
        <v>0</v>
      </c>
      <c r="J58" s="1225">
        <v>500</v>
      </c>
      <c r="K58" s="1225">
        <v>0</v>
      </c>
      <c r="L58" s="647">
        <f t="shared" si="7"/>
        <v>500</v>
      </c>
      <c r="M58" s="1225">
        <v>58</v>
      </c>
      <c r="N58" s="1225">
        <v>558</v>
      </c>
      <c r="O58" s="647">
        <f t="shared" si="8"/>
        <v>0</v>
      </c>
      <c r="P58" s="646" t="s">
        <v>1511</v>
      </c>
      <c r="S58" s="641">
        <f t="shared" si="3"/>
        <v>558</v>
      </c>
      <c r="T58" s="641">
        <f t="shared" si="4"/>
        <v>1058</v>
      </c>
      <c r="V58" s="641">
        <f t="shared" si="5"/>
        <v>-500</v>
      </c>
      <c r="Z58" s="641">
        <f>SUM(J58:M58)</f>
        <v>1058</v>
      </c>
      <c r="AB58" s="1205"/>
      <c r="AC58" s="1205">
        <v>558</v>
      </c>
      <c r="AD58" s="1205"/>
    </row>
    <row r="59" spans="1:30" ht="25.5" customHeight="1">
      <c r="A59" s="652">
        <v>12</v>
      </c>
      <c r="B59" s="664" t="s">
        <v>1538</v>
      </c>
      <c r="C59" s="671" t="s">
        <v>1539</v>
      </c>
      <c r="D59" s="1225">
        <v>42.530999999999999</v>
      </c>
      <c r="E59" s="670">
        <v>1717</v>
      </c>
      <c r="F59" s="647">
        <v>0</v>
      </c>
      <c r="G59" s="1225">
        <v>0</v>
      </c>
      <c r="H59" s="664">
        <v>0</v>
      </c>
      <c r="I59" s="647">
        <f t="shared" si="9"/>
        <v>0</v>
      </c>
      <c r="J59" s="1225">
        <v>300</v>
      </c>
      <c r="K59" s="1225">
        <v>0</v>
      </c>
      <c r="L59" s="647">
        <f t="shared" si="7"/>
        <v>300</v>
      </c>
      <c r="M59" s="1225">
        <v>1417</v>
      </c>
      <c r="N59" s="1225">
        <v>1717</v>
      </c>
      <c r="O59" s="647">
        <f t="shared" si="8"/>
        <v>0</v>
      </c>
      <c r="P59" s="671" t="s">
        <v>1515</v>
      </c>
      <c r="S59" s="641">
        <f t="shared" si="3"/>
        <v>1717</v>
      </c>
      <c r="T59" s="641">
        <f t="shared" si="4"/>
        <v>2017</v>
      </c>
      <c r="V59" s="641">
        <f t="shared" si="5"/>
        <v>-300</v>
      </c>
      <c r="Z59" s="641">
        <f>SUM(J59:M59)</f>
        <v>2017</v>
      </c>
      <c r="AB59" s="1205"/>
      <c r="AC59" s="1205">
        <v>1717</v>
      </c>
      <c r="AD59" s="1205"/>
    </row>
    <row r="60" spans="1:30" ht="39" customHeight="1">
      <c r="A60" s="652">
        <v>13</v>
      </c>
      <c r="B60" s="664" t="s">
        <v>1540</v>
      </c>
      <c r="C60" s="671" t="s">
        <v>1541</v>
      </c>
      <c r="D60" s="1225">
        <v>1.52</v>
      </c>
      <c r="E60" s="670">
        <v>112</v>
      </c>
      <c r="F60" s="647">
        <v>0</v>
      </c>
      <c r="G60" s="1225">
        <v>0</v>
      </c>
      <c r="H60" s="664">
        <v>0</v>
      </c>
      <c r="I60" s="647">
        <f t="shared" si="9"/>
        <v>0</v>
      </c>
      <c r="J60" s="1225">
        <v>112</v>
      </c>
      <c r="K60" s="1225">
        <v>112</v>
      </c>
      <c r="L60" s="647">
        <f t="shared" si="7"/>
        <v>0</v>
      </c>
      <c r="M60" s="1225">
        <v>0</v>
      </c>
      <c r="N60" s="1225">
        <v>0</v>
      </c>
      <c r="O60" s="647">
        <f t="shared" si="8"/>
        <v>0</v>
      </c>
      <c r="P60" s="671" t="s">
        <v>1542</v>
      </c>
      <c r="S60" s="641">
        <f t="shared" si="3"/>
        <v>112</v>
      </c>
      <c r="T60" s="641">
        <f t="shared" si="4"/>
        <v>224</v>
      </c>
      <c r="V60" s="641">
        <f t="shared" si="5"/>
        <v>-112</v>
      </c>
      <c r="Y60" s="641">
        <f>J60</f>
        <v>112</v>
      </c>
      <c r="AB60" s="1205">
        <v>112</v>
      </c>
      <c r="AC60" s="1205"/>
      <c r="AD60" s="1205"/>
    </row>
    <row r="61" spans="1:30" ht="40.5" customHeight="1">
      <c r="A61" s="652"/>
      <c r="B61" s="664"/>
      <c r="C61" s="671" t="s">
        <v>1543</v>
      </c>
      <c r="D61" s="1225">
        <v>38.18</v>
      </c>
      <c r="E61" s="670">
        <v>1301</v>
      </c>
      <c r="F61" s="647">
        <v>0</v>
      </c>
      <c r="G61" s="1225">
        <v>0</v>
      </c>
      <c r="H61" s="664">
        <v>0</v>
      </c>
      <c r="I61" s="647">
        <f t="shared" si="9"/>
        <v>0</v>
      </c>
      <c r="J61" s="1225">
        <v>700</v>
      </c>
      <c r="K61" s="1225">
        <v>0</v>
      </c>
      <c r="L61" s="647">
        <f t="shared" si="7"/>
        <v>700</v>
      </c>
      <c r="M61" s="1225">
        <v>601</v>
      </c>
      <c r="N61" s="1225">
        <v>1301</v>
      </c>
      <c r="O61" s="647">
        <f t="shared" si="8"/>
        <v>0</v>
      </c>
      <c r="P61" s="671" t="s">
        <v>1542</v>
      </c>
      <c r="S61" s="641">
        <f t="shared" si="3"/>
        <v>1301</v>
      </c>
      <c r="T61" s="641">
        <f t="shared" si="4"/>
        <v>2001</v>
      </c>
      <c r="V61" s="641">
        <f t="shared" si="5"/>
        <v>-700</v>
      </c>
      <c r="Z61" s="641">
        <f t="shared" ref="Z61:Z66" si="10">SUM(J61:M61)</f>
        <v>2001</v>
      </c>
      <c r="AB61" s="1205"/>
      <c r="AC61" s="1205">
        <v>1301</v>
      </c>
      <c r="AD61" s="1205"/>
    </row>
    <row r="62" spans="1:30" ht="38.25" customHeight="1">
      <c r="A62" s="652">
        <v>14</v>
      </c>
      <c r="B62" s="670" t="s">
        <v>1544</v>
      </c>
      <c r="C62" s="671" t="s">
        <v>1545</v>
      </c>
      <c r="D62" s="676">
        <v>40.299999999999997</v>
      </c>
      <c r="E62" s="670">
        <v>1066</v>
      </c>
      <c r="F62" s="647">
        <v>0</v>
      </c>
      <c r="G62" s="676">
        <v>0</v>
      </c>
      <c r="H62" s="664">
        <v>0</v>
      </c>
      <c r="I62" s="647">
        <f t="shared" si="9"/>
        <v>0</v>
      </c>
      <c r="J62" s="676">
        <v>200</v>
      </c>
      <c r="K62" s="676">
        <v>0</v>
      </c>
      <c r="L62" s="647">
        <f t="shared" si="7"/>
        <v>200</v>
      </c>
      <c r="M62" s="676">
        <v>866</v>
      </c>
      <c r="N62" s="676">
        <v>1066</v>
      </c>
      <c r="O62" s="647">
        <f t="shared" si="8"/>
        <v>0</v>
      </c>
      <c r="P62" s="671" t="s">
        <v>1515</v>
      </c>
      <c r="S62" s="641">
        <f t="shared" si="3"/>
        <v>1066</v>
      </c>
      <c r="T62" s="641">
        <f t="shared" si="4"/>
        <v>1266</v>
      </c>
      <c r="V62" s="641">
        <f t="shared" si="5"/>
        <v>-200</v>
      </c>
      <c r="Z62" s="641">
        <f t="shared" si="10"/>
        <v>1266</v>
      </c>
      <c r="AB62" s="1205"/>
      <c r="AC62" s="1205">
        <v>1066</v>
      </c>
      <c r="AD62" s="1205"/>
    </row>
    <row r="63" spans="1:30" ht="39.75" customHeight="1">
      <c r="A63" s="652">
        <v>15</v>
      </c>
      <c r="B63" s="677" t="s">
        <v>1546</v>
      </c>
      <c r="C63" s="671" t="s">
        <v>1547</v>
      </c>
      <c r="D63" s="1225">
        <v>20.417999999999999</v>
      </c>
      <c r="E63" s="670">
        <v>1323</v>
      </c>
      <c r="F63" s="647">
        <v>0</v>
      </c>
      <c r="G63" s="1225">
        <v>0</v>
      </c>
      <c r="H63" s="664">
        <v>0</v>
      </c>
      <c r="I63" s="647">
        <f t="shared" si="9"/>
        <v>0</v>
      </c>
      <c r="J63" s="1225">
        <v>660</v>
      </c>
      <c r="K63" s="1225">
        <v>0</v>
      </c>
      <c r="L63" s="647">
        <f t="shared" si="7"/>
        <v>660</v>
      </c>
      <c r="M63" s="1225">
        <v>663</v>
      </c>
      <c r="N63" s="1225">
        <v>1323</v>
      </c>
      <c r="O63" s="647">
        <f t="shared" si="8"/>
        <v>0</v>
      </c>
      <c r="P63" s="678" t="s">
        <v>1548</v>
      </c>
      <c r="S63" s="641">
        <f t="shared" si="3"/>
        <v>1323</v>
      </c>
      <c r="T63" s="641">
        <f t="shared" si="4"/>
        <v>1983</v>
      </c>
      <c r="V63" s="641">
        <f t="shared" si="5"/>
        <v>-660</v>
      </c>
      <c r="Z63" s="1205">
        <f t="shared" si="10"/>
        <v>1983</v>
      </c>
      <c r="AB63" s="1205"/>
      <c r="AC63" s="1205">
        <v>1323</v>
      </c>
      <c r="AD63" s="1205"/>
    </row>
    <row r="64" spans="1:30" ht="37.5" customHeight="1">
      <c r="A64" s="652">
        <v>16</v>
      </c>
      <c r="B64" s="677" t="s">
        <v>1549</v>
      </c>
      <c r="C64" s="679" t="s">
        <v>1550</v>
      </c>
      <c r="D64" s="1225">
        <v>12.15</v>
      </c>
      <c r="E64" s="642">
        <v>669</v>
      </c>
      <c r="F64" s="647">
        <v>0</v>
      </c>
      <c r="G64" s="1225">
        <v>0</v>
      </c>
      <c r="H64" s="664">
        <v>0</v>
      </c>
      <c r="I64" s="647">
        <f t="shared" si="9"/>
        <v>0</v>
      </c>
      <c r="J64" s="1225">
        <v>500</v>
      </c>
      <c r="K64" s="1225">
        <v>0</v>
      </c>
      <c r="L64" s="647">
        <f t="shared" si="7"/>
        <v>500</v>
      </c>
      <c r="M64" s="1225">
        <v>169</v>
      </c>
      <c r="N64" s="1225">
        <v>669</v>
      </c>
      <c r="O64" s="647">
        <f t="shared" si="8"/>
        <v>0</v>
      </c>
      <c r="P64" s="678" t="s">
        <v>1548</v>
      </c>
      <c r="S64" s="641">
        <f t="shared" si="3"/>
        <v>669</v>
      </c>
      <c r="T64" s="641">
        <f t="shared" si="4"/>
        <v>1169</v>
      </c>
      <c r="V64" s="641">
        <f t="shared" si="5"/>
        <v>-500</v>
      </c>
      <c r="Y64" s="1205"/>
      <c r="Z64" s="641">
        <f t="shared" si="10"/>
        <v>1169</v>
      </c>
      <c r="AB64" s="1205"/>
      <c r="AC64" s="1205">
        <v>669</v>
      </c>
      <c r="AD64" s="1205"/>
    </row>
    <row r="65" spans="1:30" ht="37.5" customHeight="1">
      <c r="A65" s="646"/>
      <c r="B65" s="677"/>
      <c r="C65" s="679" t="s">
        <v>1551</v>
      </c>
      <c r="D65" s="1225">
        <v>50.357999999999997</v>
      </c>
      <c r="E65" s="642">
        <v>1858</v>
      </c>
      <c r="F65" s="647">
        <v>0</v>
      </c>
      <c r="G65" s="1225">
        <v>0</v>
      </c>
      <c r="H65" s="664">
        <v>0</v>
      </c>
      <c r="I65" s="647">
        <f t="shared" si="9"/>
        <v>0</v>
      </c>
      <c r="J65" s="1225">
        <v>1000</v>
      </c>
      <c r="K65" s="1225">
        <v>0</v>
      </c>
      <c r="L65" s="647">
        <f t="shared" si="7"/>
        <v>1000</v>
      </c>
      <c r="M65" s="1225">
        <v>858</v>
      </c>
      <c r="N65" s="1225">
        <v>1858</v>
      </c>
      <c r="O65" s="647">
        <f t="shared" si="8"/>
        <v>0</v>
      </c>
      <c r="P65" s="678" t="s">
        <v>1511</v>
      </c>
      <c r="S65" s="641">
        <f t="shared" si="3"/>
        <v>1858</v>
      </c>
      <c r="T65" s="641">
        <f t="shared" si="4"/>
        <v>2858</v>
      </c>
      <c r="V65" s="641">
        <f t="shared" si="5"/>
        <v>-1000</v>
      </c>
      <c r="Z65" s="1205">
        <f t="shared" si="10"/>
        <v>2858</v>
      </c>
      <c r="AB65" s="1205"/>
      <c r="AC65" s="1205">
        <v>1858</v>
      </c>
      <c r="AD65" s="1205"/>
    </row>
    <row r="66" spans="1:30" ht="40.5" customHeight="1">
      <c r="A66" s="646"/>
      <c r="B66" s="677"/>
      <c r="C66" s="679" t="s">
        <v>1552</v>
      </c>
      <c r="D66" s="1225">
        <v>13.32</v>
      </c>
      <c r="E66" s="2643">
        <v>1115</v>
      </c>
      <c r="F66" s="647">
        <v>0</v>
      </c>
      <c r="G66" s="1225">
        <v>0</v>
      </c>
      <c r="H66" s="664">
        <v>0</v>
      </c>
      <c r="I66" s="647">
        <f t="shared" si="9"/>
        <v>0</v>
      </c>
      <c r="J66" s="2644">
        <v>892</v>
      </c>
      <c r="K66" s="1225">
        <v>0</v>
      </c>
      <c r="L66" s="647">
        <f t="shared" si="7"/>
        <v>892</v>
      </c>
      <c r="M66" s="2644">
        <v>223</v>
      </c>
      <c r="N66" s="1225">
        <v>1115</v>
      </c>
      <c r="O66" s="647">
        <f t="shared" si="8"/>
        <v>0</v>
      </c>
      <c r="P66" s="678" t="s">
        <v>1511</v>
      </c>
      <c r="S66" s="641">
        <f t="shared" si="3"/>
        <v>1115</v>
      </c>
      <c r="T66" s="641">
        <f t="shared" si="4"/>
        <v>2007</v>
      </c>
      <c r="V66" s="641">
        <f t="shared" si="5"/>
        <v>-892</v>
      </c>
      <c r="Z66" s="1205">
        <f t="shared" si="10"/>
        <v>2007</v>
      </c>
      <c r="AB66" s="1205"/>
      <c r="AC66" s="1205">
        <v>1115</v>
      </c>
      <c r="AD66" s="1205"/>
    </row>
    <row r="67" spans="1:30" ht="37.5" customHeight="1">
      <c r="A67" s="646"/>
      <c r="B67" s="677"/>
      <c r="C67" s="680" t="s">
        <v>1553</v>
      </c>
      <c r="D67" s="1225">
        <v>13.085000000000001</v>
      </c>
      <c r="E67" s="2643"/>
      <c r="F67" s="647">
        <v>0</v>
      </c>
      <c r="G67" s="1225">
        <v>0</v>
      </c>
      <c r="H67" s="664">
        <v>0</v>
      </c>
      <c r="I67" s="647">
        <f t="shared" si="9"/>
        <v>0</v>
      </c>
      <c r="J67" s="2644"/>
      <c r="K67" s="1225">
        <v>0</v>
      </c>
      <c r="L67" s="647">
        <f t="shared" si="7"/>
        <v>0</v>
      </c>
      <c r="M67" s="2644"/>
      <c r="N67" s="1225">
        <v>0</v>
      </c>
      <c r="O67" s="647">
        <f t="shared" si="8"/>
        <v>0</v>
      </c>
      <c r="P67" s="678" t="s">
        <v>1548</v>
      </c>
      <c r="S67" s="641">
        <f t="shared" si="3"/>
        <v>0</v>
      </c>
      <c r="T67" s="641">
        <f t="shared" si="4"/>
        <v>0</v>
      </c>
      <c r="V67" s="641">
        <f t="shared" si="5"/>
        <v>0</v>
      </c>
      <c r="AB67" s="1205"/>
      <c r="AC67" s="1205"/>
      <c r="AD67" s="1205"/>
    </row>
    <row r="68" spans="1:30" ht="38.25">
      <c r="A68" s="645">
        <v>17</v>
      </c>
      <c r="B68" s="1225" t="s">
        <v>1554</v>
      </c>
      <c r="C68" s="671" t="s">
        <v>1555</v>
      </c>
      <c r="D68" s="673">
        <v>44.8</v>
      </c>
      <c r="E68" s="1225">
        <v>1665</v>
      </c>
      <c r="F68" s="647">
        <v>0</v>
      </c>
      <c r="G68" s="1225">
        <v>0</v>
      </c>
      <c r="H68" s="664">
        <v>0</v>
      </c>
      <c r="I68" s="647">
        <f t="shared" si="9"/>
        <v>0</v>
      </c>
      <c r="J68" s="1225">
        <v>500</v>
      </c>
      <c r="K68" s="1225">
        <v>0</v>
      </c>
      <c r="L68" s="647">
        <f t="shared" si="7"/>
        <v>500</v>
      </c>
      <c r="M68" s="1225">
        <v>1165</v>
      </c>
      <c r="N68" s="1225">
        <v>1665</v>
      </c>
      <c r="O68" s="647">
        <f t="shared" si="8"/>
        <v>0</v>
      </c>
      <c r="P68" s="646" t="s">
        <v>1515</v>
      </c>
      <c r="S68" s="641">
        <f t="shared" si="3"/>
        <v>1665</v>
      </c>
      <c r="T68" s="641">
        <f t="shared" si="4"/>
        <v>2165</v>
      </c>
      <c r="V68" s="641">
        <f t="shared" si="5"/>
        <v>-500</v>
      </c>
      <c r="Z68" s="1205">
        <f>SUM(J68:M68)</f>
        <v>2165</v>
      </c>
      <c r="AB68" s="1205"/>
      <c r="AC68" s="1205">
        <v>1665</v>
      </c>
      <c r="AD68" s="1205"/>
    </row>
    <row r="69" spans="1:30" ht="90">
      <c r="A69" s="642" t="s">
        <v>394</v>
      </c>
      <c r="B69" s="642" t="s">
        <v>1447</v>
      </c>
      <c r="C69" s="642" t="s">
        <v>1448</v>
      </c>
      <c r="D69" s="642" t="s">
        <v>1449</v>
      </c>
      <c r="E69" s="643" t="s">
        <v>1450</v>
      </c>
      <c r="F69" s="643"/>
      <c r="G69" s="642" t="s">
        <v>1451</v>
      </c>
      <c r="H69" s="664"/>
      <c r="I69" s="642"/>
      <c r="J69" s="644" t="s">
        <v>1452</v>
      </c>
      <c r="K69" s="642"/>
      <c r="L69" s="647"/>
      <c r="M69" s="644" t="s">
        <v>1453</v>
      </c>
      <c r="N69" s="644"/>
      <c r="O69" s="647"/>
      <c r="P69" s="642" t="s">
        <v>454</v>
      </c>
      <c r="S69" s="641" t="str">
        <f t="shared" ref="S69:S103" si="11">E69</f>
        <v>Total Estimated Cost</v>
      </c>
      <c r="T69" s="641">
        <f t="shared" ref="T69:T103" si="12">SUM(G69:M69)</f>
        <v>0</v>
      </c>
      <c r="AB69" s="1205"/>
      <c r="AC69" s="1205"/>
      <c r="AD69" s="1205"/>
    </row>
    <row r="70" spans="1:30" ht="38.25">
      <c r="A70" s="647">
        <v>18</v>
      </c>
      <c r="B70" s="1225" t="s">
        <v>1556</v>
      </c>
      <c r="C70" s="671" t="s">
        <v>1557</v>
      </c>
      <c r="D70" s="681">
        <v>15.18</v>
      </c>
      <c r="E70" s="642">
        <v>409</v>
      </c>
      <c r="F70" s="647">
        <v>0</v>
      </c>
      <c r="G70" s="676">
        <v>2.2599999999999998</v>
      </c>
      <c r="H70" s="664">
        <v>0</v>
      </c>
      <c r="I70" s="647">
        <f t="shared" si="9"/>
        <v>2.2599999999999998</v>
      </c>
      <c r="J70" s="676">
        <v>300</v>
      </c>
      <c r="K70" s="676">
        <v>0</v>
      </c>
      <c r="L70" s="647">
        <f t="shared" si="7"/>
        <v>302.26</v>
      </c>
      <c r="M70" s="676">
        <v>106.74</v>
      </c>
      <c r="N70" s="676">
        <v>409</v>
      </c>
      <c r="O70" s="647">
        <f t="shared" si="8"/>
        <v>0</v>
      </c>
      <c r="P70" s="646" t="s">
        <v>1529</v>
      </c>
      <c r="S70" s="641">
        <f t="shared" si="11"/>
        <v>409</v>
      </c>
      <c r="T70" s="641">
        <f t="shared" si="12"/>
        <v>713.52</v>
      </c>
      <c r="V70" s="641">
        <f t="shared" ref="V70:V103" si="13">S70-T70</f>
        <v>-304.52</v>
      </c>
      <c r="Z70" s="1205">
        <f>SUM(G70:M70)</f>
        <v>713.52</v>
      </c>
      <c r="AB70" s="1205"/>
      <c r="AC70" s="1205">
        <v>409</v>
      </c>
      <c r="AD70" s="1205"/>
    </row>
    <row r="71" spans="1:30" ht="50.25" customHeight="1">
      <c r="A71" s="647">
        <v>19</v>
      </c>
      <c r="B71" s="1225" t="s">
        <v>1558</v>
      </c>
      <c r="C71" s="671" t="s">
        <v>1559</v>
      </c>
      <c r="D71" s="673">
        <v>10</v>
      </c>
      <c r="E71" s="642">
        <v>450</v>
      </c>
      <c r="F71" s="647">
        <v>0</v>
      </c>
      <c r="G71" s="1225">
        <v>17.16</v>
      </c>
      <c r="H71" s="664">
        <v>0</v>
      </c>
      <c r="I71" s="647">
        <f t="shared" si="9"/>
        <v>17.16</v>
      </c>
      <c r="J71" s="642">
        <v>350</v>
      </c>
      <c r="K71" s="1225">
        <v>0</v>
      </c>
      <c r="L71" s="647">
        <f t="shared" si="7"/>
        <v>367.16</v>
      </c>
      <c r="M71" s="642">
        <v>82.84</v>
      </c>
      <c r="N71" s="642">
        <v>450</v>
      </c>
      <c r="O71" s="647">
        <f t="shared" si="8"/>
        <v>0</v>
      </c>
      <c r="P71" s="646" t="s">
        <v>1560</v>
      </c>
      <c r="S71" s="641">
        <f t="shared" si="11"/>
        <v>450</v>
      </c>
      <c r="T71" s="641">
        <f t="shared" si="12"/>
        <v>834.32</v>
      </c>
      <c r="V71" s="641">
        <f t="shared" si="13"/>
        <v>-384.32000000000005</v>
      </c>
      <c r="Z71" s="641">
        <f>SUM(G71:M71)</f>
        <v>834.32</v>
      </c>
      <c r="AB71" s="1205"/>
      <c r="AC71" s="1205">
        <v>450</v>
      </c>
      <c r="AD71" s="1205"/>
    </row>
    <row r="72" spans="1:30" ht="38.25">
      <c r="A72" s="647">
        <v>20</v>
      </c>
      <c r="B72" s="1225" t="s">
        <v>1561</v>
      </c>
      <c r="C72" s="671" t="s">
        <v>1562</v>
      </c>
      <c r="D72" s="673">
        <v>4.4649999999999999</v>
      </c>
      <c r="E72" s="663">
        <v>215</v>
      </c>
      <c r="F72" s="647">
        <v>0</v>
      </c>
      <c r="G72" s="1225">
        <v>0.02</v>
      </c>
      <c r="H72" s="664">
        <v>0</v>
      </c>
      <c r="I72" s="647">
        <f t="shared" si="9"/>
        <v>0.02</v>
      </c>
      <c r="J72" s="663">
        <v>200</v>
      </c>
      <c r="K72" s="1225">
        <v>0</v>
      </c>
      <c r="L72" s="647">
        <f t="shared" si="7"/>
        <v>200.02</v>
      </c>
      <c r="M72" s="663">
        <v>14.98</v>
      </c>
      <c r="N72" s="663">
        <v>215</v>
      </c>
      <c r="O72" s="647">
        <f t="shared" si="8"/>
        <v>0</v>
      </c>
      <c r="P72" s="646" t="s">
        <v>1515</v>
      </c>
      <c r="S72" s="641">
        <f t="shared" si="11"/>
        <v>215</v>
      </c>
      <c r="T72" s="641">
        <f t="shared" si="12"/>
        <v>415.04</v>
      </c>
      <c r="V72" s="641">
        <f t="shared" si="13"/>
        <v>-200.04000000000002</v>
      </c>
      <c r="Z72" s="641">
        <f>SUM(G72:M72)</f>
        <v>415.04</v>
      </c>
      <c r="AB72" s="1205"/>
      <c r="AC72" s="1205">
        <v>215</v>
      </c>
      <c r="AD72" s="1205"/>
    </row>
    <row r="73" spans="1:30" ht="37.5" customHeight="1">
      <c r="A73" s="647">
        <v>21</v>
      </c>
      <c r="B73" s="1225" t="s">
        <v>1563</v>
      </c>
      <c r="C73" s="671" t="s">
        <v>1564</v>
      </c>
      <c r="D73" s="673">
        <v>1.24</v>
      </c>
      <c r="E73" s="642">
        <v>186</v>
      </c>
      <c r="F73" s="647">
        <v>0</v>
      </c>
      <c r="G73" s="1225">
        <v>0.1</v>
      </c>
      <c r="H73" s="664">
        <v>0</v>
      </c>
      <c r="I73" s="647">
        <f t="shared" si="9"/>
        <v>0.1</v>
      </c>
      <c r="J73" s="1225">
        <v>185.9</v>
      </c>
      <c r="K73" s="1225">
        <v>186</v>
      </c>
      <c r="L73" s="647">
        <f t="shared" si="7"/>
        <v>0</v>
      </c>
      <c r="M73" s="1225">
        <v>0</v>
      </c>
      <c r="N73" s="1225"/>
      <c r="O73" s="647">
        <f t="shared" si="8"/>
        <v>0</v>
      </c>
      <c r="P73" s="646" t="s">
        <v>1511</v>
      </c>
      <c r="S73" s="641">
        <f t="shared" si="11"/>
        <v>186</v>
      </c>
      <c r="T73" s="641">
        <f t="shared" si="12"/>
        <v>372.1</v>
      </c>
      <c r="V73" s="641">
        <f t="shared" si="13"/>
        <v>-186.10000000000002</v>
      </c>
      <c r="Y73" s="641">
        <f>SUM(G73:J73)</f>
        <v>186.1</v>
      </c>
      <c r="AB73" s="1205">
        <v>186</v>
      </c>
      <c r="AC73" s="1205"/>
      <c r="AD73" s="1205"/>
    </row>
    <row r="74" spans="1:30" ht="37.5" customHeight="1">
      <c r="A74" s="647">
        <v>22</v>
      </c>
      <c r="B74" s="1225" t="s">
        <v>1565</v>
      </c>
      <c r="C74" s="671" t="s">
        <v>1566</v>
      </c>
      <c r="D74" s="673">
        <v>14.539</v>
      </c>
      <c r="E74" s="642">
        <v>372</v>
      </c>
      <c r="F74" s="647">
        <v>0</v>
      </c>
      <c r="G74" s="1225">
        <v>0</v>
      </c>
      <c r="H74" s="664">
        <v>0</v>
      </c>
      <c r="I74" s="647">
        <f t="shared" si="9"/>
        <v>0</v>
      </c>
      <c r="J74" s="1225">
        <v>186</v>
      </c>
      <c r="K74" s="1225">
        <v>0</v>
      </c>
      <c r="L74" s="647">
        <f t="shared" si="7"/>
        <v>186</v>
      </c>
      <c r="M74" s="1225">
        <v>186</v>
      </c>
      <c r="N74" s="1225">
        <v>372</v>
      </c>
      <c r="O74" s="647">
        <f t="shared" si="8"/>
        <v>0</v>
      </c>
      <c r="P74" s="646" t="s">
        <v>1548</v>
      </c>
      <c r="S74" s="641">
        <f t="shared" si="11"/>
        <v>372</v>
      </c>
      <c r="T74" s="641">
        <f t="shared" si="12"/>
        <v>558</v>
      </c>
      <c r="V74" s="641">
        <f t="shared" si="13"/>
        <v>-186</v>
      </c>
      <c r="Z74" s="641">
        <f t="shared" ref="Z74:Z79" si="14">SUM(J74:M74)</f>
        <v>558</v>
      </c>
      <c r="AB74" s="1205"/>
      <c r="AC74" s="1205">
        <v>372</v>
      </c>
      <c r="AD74" s="1205"/>
    </row>
    <row r="75" spans="1:30" ht="39.75" customHeight="1">
      <c r="A75" s="647">
        <v>23</v>
      </c>
      <c r="B75" s="1225" t="s">
        <v>1567</v>
      </c>
      <c r="C75" s="671" t="s">
        <v>1568</v>
      </c>
      <c r="D75" s="673">
        <v>3.2050000000000001</v>
      </c>
      <c r="E75" s="642">
        <v>110</v>
      </c>
      <c r="F75" s="647">
        <v>0</v>
      </c>
      <c r="G75" s="1225">
        <v>0</v>
      </c>
      <c r="H75" s="664">
        <v>0</v>
      </c>
      <c r="I75" s="647">
        <f t="shared" si="9"/>
        <v>0</v>
      </c>
      <c r="J75" s="1225">
        <v>50</v>
      </c>
      <c r="K75" s="1225">
        <v>0</v>
      </c>
      <c r="L75" s="647">
        <f t="shared" si="7"/>
        <v>50</v>
      </c>
      <c r="M75" s="1225">
        <v>60</v>
      </c>
      <c r="N75" s="1225">
        <v>110</v>
      </c>
      <c r="O75" s="647">
        <f t="shared" si="8"/>
        <v>0</v>
      </c>
      <c r="P75" s="646" t="s">
        <v>1548</v>
      </c>
      <c r="S75" s="641">
        <f t="shared" si="11"/>
        <v>110</v>
      </c>
      <c r="T75" s="641">
        <f t="shared" si="12"/>
        <v>160</v>
      </c>
      <c r="V75" s="641">
        <f t="shared" si="13"/>
        <v>-50</v>
      </c>
      <c r="Z75" s="1205">
        <f t="shared" si="14"/>
        <v>160</v>
      </c>
      <c r="AB75" s="1205"/>
      <c r="AC75" s="1205">
        <v>110</v>
      </c>
      <c r="AD75" s="1205"/>
    </row>
    <row r="76" spans="1:30" ht="37.5" customHeight="1">
      <c r="A76" s="647">
        <v>24</v>
      </c>
      <c r="B76" s="1225" t="s">
        <v>1569</v>
      </c>
      <c r="C76" s="671" t="s">
        <v>1570</v>
      </c>
      <c r="D76" s="673">
        <v>2.5</v>
      </c>
      <c r="E76" s="642">
        <v>93</v>
      </c>
      <c r="F76" s="647">
        <v>0</v>
      </c>
      <c r="G76" s="1225">
        <v>0</v>
      </c>
      <c r="H76" s="664">
        <v>0</v>
      </c>
      <c r="I76" s="647">
        <f t="shared" si="9"/>
        <v>0</v>
      </c>
      <c r="J76" s="644">
        <v>40</v>
      </c>
      <c r="K76" s="1225">
        <v>0</v>
      </c>
      <c r="L76" s="647">
        <f t="shared" si="7"/>
        <v>40</v>
      </c>
      <c r="M76" s="644">
        <v>53</v>
      </c>
      <c r="N76" s="644">
        <v>93</v>
      </c>
      <c r="O76" s="647">
        <f t="shared" si="8"/>
        <v>0</v>
      </c>
      <c r="P76" s="646" t="s">
        <v>1560</v>
      </c>
      <c r="S76" s="641">
        <f t="shared" si="11"/>
        <v>93</v>
      </c>
      <c r="T76" s="641">
        <f t="shared" si="12"/>
        <v>133</v>
      </c>
      <c r="V76" s="641">
        <f t="shared" si="13"/>
        <v>-40</v>
      </c>
      <c r="Z76" s="1205">
        <f t="shared" si="14"/>
        <v>133</v>
      </c>
      <c r="AB76" s="1205"/>
      <c r="AC76" s="1205">
        <v>93</v>
      </c>
      <c r="AD76" s="1205"/>
    </row>
    <row r="77" spans="1:30" ht="39" customHeight="1">
      <c r="A77" s="647">
        <v>25</v>
      </c>
      <c r="B77" s="1225" t="s">
        <v>1571</v>
      </c>
      <c r="C77" s="671" t="s">
        <v>1572</v>
      </c>
      <c r="D77" s="673">
        <v>60</v>
      </c>
      <c r="E77" s="663">
        <v>2230</v>
      </c>
      <c r="F77" s="647">
        <v>0</v>
      </c>
      <c r="G77" s="1225">
        <v>0</v>
      </c>
      <c r="H77" s="664">
        <v>0</v>
      </c>
      <c r="I77" s="647">
        <f t="shared" si="9"/>
        <v>0</v>
      </c>
      <c r="J77" s="644">
        <v>30</v>
      </c>
      <c r="K77" s="1225">
        <v>0</v>
      </c>
      <c r="L77" s="647">
        <f t="shared" si="7"/>
        <v>30</v>
      </c>
      <c r="M77" s="644">
        <v>30</v>
      </c>
      <c r="N77" s="644">
        <v>60</v>
      </c>
      <c r="O77" s="647">
        <f t="shared" si="8"/>
        <v>0</v>
      </c>
      <c r="P77" s="646" t="s">
        <v>1573</v>
      </c>
      <c r="S77" s="641">
        <f t="shared" si="11"/>
        <v>2230</v>
      </c>
      <c r="T77" s="641">
        <f t="shared" si="12"/>
        <v>90</v>
      </c>
      <c r="V77" s="641">
        <f t="shared" si="13"/>
        <v>2140</v>
      </c>
      <c r="Z77" s="1205">
        <f t="shared" si="14"/>
        <v>90</v>
      </c>
      <c r="AB77" s="1205"/>
      <c r="AC77" s="1205">
        <v>60</v>
      </c>
      <c r="AD77" s="1205"/>
    </row>
    <row r="78" spans="1:30" ht="29.25" customHeight="1">
      <c r="A78" s="647">
        <v>26</v>
      </c>
      <c r="B78" s="1225" t="s">
        <v>1574</v>
      </c>
      <c r="C78" s="671" t="s">
        <v>1575</v>
      </c>
      <c r="D78" s="673">
        <v>40</v>
      </c>
      <c r="E78" s="642">
        <v>1436</v>
      </c>
      <c r="F78" s="647">
        <v>0</v>
      </c>
      <c r="G78" s="1225">
        <v>0</v>
      </c>
      <c r="H78" s="664">
        <v>0</v>
      </c>
      <c r="I78" s="647">
        <f t="shared" si="9"/>
        <v>0</v>
      </c>
      <c r="J78" s="644">
        <v>300</v>
      </c>
      <c r="K78" s="1225">
        <v>0</v>
      </c>
      <c r="L78" s="647">
        <f t="shared" si="7"/>
        <v>300</v>
      </c>
      <c r="M78" s="644">
        <v>1136</v>
      </c>
      <c r="N78" s="644">
        <v>1436</v>
      </c>
      <c r="O78" s="647">
        <f t="shared" si="8"/>
        <v>0</v>
      </c>
      <c r="P78" s="646" t="s">
        <v>1576</v>
      </c>
      <c r="S78" s="641">
        <f t="shared" si="11"/>
        <v>1436</v>
      </c>
      <c r="T78" s="641">
        <f t="shared" si="12"/>
        <v>1736</v>
      </c>
      <c r="V78" s="641">
        <f t="shared" si="13"/>
        <v>-300</v>
      </c>
      <c r="Z78" s="1205">
        <f t="shared" si="14"/>
        <v>1736</v>
      </c>
      <c r="AB78" s="1205"/>
      <c r="AC78" s="1205">
        <v>1436</v>
      </c>
      <c r="AD78" s="1205"/>
    </row>
    <row r="79" spans="1:30" ht="58.5" customHeight="1">
      <c r="A79" s="647">
        <v>27</v>
      </c>
      <c r="B79" s="1225" t="s">
        <v>1577</v>
      </c>
      <c r="C79" s="671" t="s">
        <v>1578</v>
      </c>
      <c r="D79" s="673">
        <v>6.65</v>
      </c>
      <c r="E79" s="642">
        <v>558</v>
      </c>
      <c r="F79" s="647">
        <v>0</v>
      </c>
      <c r="G79" s="1225">
        <v>0</v>
      </c>
      <c r="H79" s="664">
        <v>0</v>
      </c>
      <c r="I79" s="647">
        <f t="shared" si="9"/>
        <v>0</v>
      </c>
      <c r="J79" s="1225">
        <v>450</v>
      </c>
      <c r="K79" s="1225">
        <v>0</v>
      </c>
      <c r="L79" s="647">
        <f t="shared" si="7"/>
        <v>450</v>
      </c>
      <c r="M79" s="677">
        <v>108</v>
      </c>
      <c r="N79" s="677">
        <v>558</v>
      </c>
      <c r="O79" s="647">
        <f t="shared" si="8"/>
        <v>0</v>
      </c>
      <c r="P79" s="646" t="s">
        <v>1511</v>
      </c>
      <c r="S79" s="641">
        <f t="shared" si="11"/>
        <v>558</v>
      </c>
      <c r="T79" s="641">
        <f t="shared" si="12"/>
        <v>1008</v>
      </c>
      <c r="V79" s="641">
        <f t="shared" si="13"/>
        <v>-450</v>
      </c>
      <c r="Z79" s="641">
        <f t="shared" si="14"/>
        <v>1008</v>
      </c>
      <c r="AB79" s="1205"/>
      <c r="AC79" s="1205">
        <v>558</v>
      </c>
      <c r="AD79" s="1205"/>
    </row>
    <row r="80" spans="1:30" ht="58.5" customHeight="1">
      <c r="A80" s="642" t="s">
        <v>394</v>
      </c>
      <c r="B80" s="642" t="s">
        <v>1447</v>
      </c>
      <c r="C80" s="642" t="s">
        <v>1448</v>
      </c>
      <c r="D80" s="642" t="s">
        <v>1449</v>
      </c>
      <c r="E80" s="643" t="s">
        <v>1450</v>
      </c>
      <c r="F80" s="643"/>
      <c r="G80" s="642" t="s">
        <v>1451</v>
      </c>
      <c r="H80" s="664"/>
      <c r="I80" s="642"/>
      <c r="J80" s="644" t="s">
        <v>1452</v>
      </c>
      <c r="K80" s="642"/>
      <c r="L80" s="647"/>
      <c r="M80" s="644" t="s">
        <v>1453</v>
      </c>
      <c r="N80" s="644"/>
      <c r="O80" s="644"/>
      <c r="P80" s="642" t="s">
        <v>454</v>
      </c>
      <c r="S80" s="641" t="str">
        <f t="shared" si="11"/>
        <v>Total Estimated Cost</v>
      </c>
      <c r="T80" s="641">
        <f t="shared" si="12"/>
        <v>0</v>
      </c>
      <c r="AB80" s="1205"/>
      <c r="AC80" s="1205"/>
      <c r="AD80" s="1205"/>
    </row>
    <row r="81" spans="1:30" ht="40.5" customHeight="1">
      <c r="A81" s="647">
        <v>28</v>
      </c>
      <c r="B81" s="670" t="s">
        <v>1579</v>
      </c>
      <c r="C81" s="671" t="s">
        <v>1580</v>
      </c>
      <c r="D81" s="682">
        <v>16.565000000000001</v>
      </c>
      <c r="E81" s="667">
        <v>1115</v>
      </c>
      <c r="F81" s="647">
        <v>0</v>
      </c>
      <c r="G81" s="682">
        <v>0</v>
      </c>
      <c r="H81" s="664">
        <v>0</v>
      </c>
      <c r="I81" s="647">
        <f t="shared" si="9"/>
        <v>0</v>
      </c>
      <c r="J81" s="682">
        <v>1000</v>
      </c>
      <c r="K81" s="682">
        <v>0</v>
      </c>
      <c r="L81" s="647">
        <f t="shared" si="7"/>
        <v>1000</v>
      </c>
      <c r="M81" s="682">
        <v>115</v>
      </c>
      <c r="N81" s="682">
        <v>1115</v>
      </c>
      <c r="O81" s="647">
        <f t="shared" si="8"/>
        <v>0</v>
      </c>
      <c r="P81" s="646" t="s">
        <v>1511</v>
      </c>
      <c r="S81" s="641">
        <f t="shared" si="11"/>
        <v>1115</v>
      </c>
      <c r="T81" s="641">
        <f t="shared" si="12"/>
        <v>2115</v>
      </c>
      <c r="V81" s="641">
        <f t="shared" si="13"/>
        <v>-1000</v>
      </c>
      <c r="Z81" s="1205">
        <f>SUM(J81:M81)</f>
        <v>2115</v>
      </c>
      <c r="AB81" s="1205"/>
      <c r="AC81" s="1205">
        <v>1115</v>
      </c>
      <c r="AD81" s="1205"/>
    </row>
    <row r="82" spans="1:30" ht="40.5" customHeight="1">
      <c r="A82" s="647">
        <v>29</v>
      </c>
      <c r="B82" s="670" t="s">
        <v>1581</v>
      </c>
      <c r="C82" s="671" t="s">
        <v>1582</v>
      </c>
      <c r="D82" s="682">
        <v>5.5650000000000004</v>
      </c>
      <c r="E82" s="664">
        <v>240.3</v>
      </c>
      <c r="F82" s="647">
        <v>0</v>
      </c>
      <c r="G82" s="682">
        <v>0</v>
      </c>
      <c r="H82" s="664">
        <v>0</v>
      </c>
      <c r="I82" s="647">
        <f t="shared" si="9"/>
        <v>0</v>
      </c>
      <c r="J82" s="682">
        <v>200</v>
      </c>
      <c r="K82" s="682">
        <v>0</v>
      </c>
      <c r="L82" s="647">
        <f t="shared" si="7"/>
        <v>200</v>
      </c>
      <c r="M82" s="682">
        <v>40.299999999999997</v>
      </c>
      <c r="N82" s="682">
        <v>240.3</v>
      </c>
      <c r="O82" s="647">
        <f t="shared" si="8"/>
        <v>0</v>
      </c>
      <c r="P82" s="646" t="s">
        <v>1511</v>
      </c>
      <c r="S82" s="641">
        <f t="shared" si="11"/>
        <v>240.3</v>
      </c>
      <c r="T82" s="641">
        <f t="shared" si="12"/>
        <v>440.3</v>
      </c>
      <c r="V82" s="641">
        <f t="shared" si="13"/>
        <v>-200</v>
      </c>
      <c r="Z82" s="641">
        <f>SUM(J82:M82)</f>
        <v>440.3</v>
      </c>
      <c r="AB82" s="1205"/>
      <c r="AC82" s="1205">
        <v>240.3</v>
      </c>
      <c r="AD82" s="1205"/>
    </row>
    <row r="83" spans="1:30" ht="39.75" customHeight="1">
      <c r="A83" s="647">
        <v>30</v>
      </c>
      <c r="B83" s="1225" t="s">
        <v>1583</v>
      </c>
      <c r="C83" s="671" t="s">
        <v>1584</v>
      </c>
      <c r="D83" s="673">
        <v>7.0830000000000002</v>
      </c>
      <c r="E83" s="663">
        <v>430</v>
      </c>
      <c r="F83" s="647">
        <v>0</v>
      </c>
      <c r="G83" s="1225">
        <v>0</v>
      </c>
      <c r="H83" s="664">
        <v>0</v>
      </c>
      <c r="I83" s="647">
        <f t="shared" si="9"/>
        <v>0</v>
      </c>
      <c r="J83" s="644">
        <v>215</v>
      </c>
      <c r="K83" s="1225">
        <v>0</v>
      </c>
      <c r="L83" s="647">
        <f t="shared" si="7"/>
        <v>215</v>
      </c>
      <c r="M83" s="644">
        <v>215</v>
      </c>
      <c r="N83" s="644">
        <v>430</v>
      </c>
      <c r="O83" s="647">
        <f t="shared" si="8"/>
        <v>0</v>
      </c>
      <c r="P83" s="646" t="s">
        <v>1585</v>
      </c>
      <c r="S83" s="641">
        <f t="shared" si="11"/>
        <v>430</v>
      </c>
      <c r="T83" s="641">
        <f t="shared" si="12"/>
        <v>645</v>
      </c>
      <c r="V83" s="641">
        <f t="shared" si="13"/>
        <v>-215</v>
      </c>
      <c r="Z83" s="1205">
        <f>SUM(J83:M83)</f>
        <v>645</v>
      </c>
      <c r="AB83" s="1205"/>
      <c r="AC83" s="1205">
        <v>430</v>
      </c>
      <c r="AD83" s="1205"/>
    </row>
    <row r="84" spans="1:30" ht="39.75" customHeight="1">
      <c r="A84" s="647">
        <v>31</v>
      </c>
      <c r="B84" s="1225" t="s">
        <v>1586</v>
      </c>
      <c r="C84" s="671" t="s">
        <v>1587</v>
      </c>
      <c r="D84" s="673">
        <v>30</v>
      </c>
      <c r="E84" s="663">
        <v>679.2</v>
      </c>
      <c r="F84" s="647">
        <v>0</v>
      </c>
      <c r="G84" s="1225">
        <v>2.52</v>
      </c>
      <c r="H84" s="664">
        <v>0</v>
      </c>
      <c r="I84" s="647">
        <f t="shared" si="9"/>
        <v>2.52</v>
      </c>
      <c r="J84" s="644">
        <v>300</v>
      </c>
      <c r="K84" s="1225">
        <v>0</v>
      </c>
      <c r="L84" s="647">
        <f t="shared" si="7"/>
        <v>302.52</v>
      </c>
      <c r="M84" s="644">
        <v>376.88</v>
      </c>
      <c r="N84" s="644">
        <v>679.4</v>
      </c>
      <c r="O84" s="647">
        <f t="shared" si="8"/>
        <v>0</v>
      </c>
      <c r="P84" s="646"/>
      <c r="S84" s="641">
        <f t="shared" si="11"/>
        <v>679.2</v>
      </c>
      <c r="T84" s="641">
        <f t="shared" si="12"/>
        <v>984.43999999999994</v>
      </c>
      <c r="V84" s="641">
        <f t="shared" si="13"/>
        <v>-305.2399999999999</v>
      </c>
      <c r="Z84" s="1205">
        <f>SUM(G84:M84)</f>
        <v>984.43999999999994</v>
      </c>
      <c r="AB84" s="1205"/>
      <c r="AC84" s="1205">
        <v>679.4</v>
      </c>
      <c r="AD84" s="1205"/>
    </row>
    <row r="85" spans="1:30" ht="39.75" customHeight="1">
      <c r="A85" s="647">
        <v>32</v>
      </c>
      <c r="B85" s="1225"/>
      <c r="C85" s="671" t="s">
        <v>1588</v>
      </c>
      <c r="D85" s="673">
        <v>35.65</v>
      </c>
      <c r="E85" s="663">
        <v>416</v>
      </c>
      <c r="F85" s="647">
        <v>0</v>
      </c>
      <c r="G85" s="1225">
        <v>0.01</v>
      </c>
      <c r="H85" s="664">
        <v>0</v>
      </c>
      <c r="I85" s="647">
        <f t="shared" si="9"/>
        <v>0.01</v>
      </c>
      <c r="J85" s="644">
        <v>300</v>
      </c>
      <c r="K85" s="1225">
        <v>0</v>
      </c>
      <c r="L85" s="647">
        <f t="shared" si="7"/>
        <v>300.01</v>
      </c>
      <c r="M85" s="644">
        <v>115.99</v>
      </c>
      <c r="N85" s="644">
        <v>416</v>
      </c>
      <c r="O85" s="647">
        <f t="shared" si="8"/>
        <v>0</v>
      </c>
      <c r="P85" s="646"/>
      <c r="S85" s="641">
        <f t="shared" si="11"/>
        <v>416</v>
      </c>
      <c r="T85" s="641">
        <f t="shared" si="12"/>
        <v>716.02</v>
      </c>
      <c r="V85" s="641">
        <f t="shared" si="13"/>
        <v>-300.02</v>
      </c>
      <c r="Z85" s="1205">
        <f>SUM(G85:M85)</f>
        <v>716.02</v>
      </c>
      <c r="AB85" s="1205"/>
      <c r="AC85" s="1205">
        <v>416</v>
      </c>
      <c r="AD85" s="1205"/>
    </row>
    <row r="86" spans="1:30" ht="55.5" customHeight="1">
      <c r="A86" s="647">
        <v>33</v>
      </c>
      <c r="B86" s="1225" t="s">
        <v>1589</v>
      </c>
      <c r="C86" s="671" t="s">
        <v>1590</v>
      </c>
      <c r="D86" s="673">
        <v>25</v>
      </c>
      <c r="E86" s="663">
        <v>1859</v>
      </c>
      <c r="F86" s="647">
        <v>0</v>
      </c>
      <c r="G86" s="1225">
        <v>0</v>
      </c>
      <c r="H86" s="664">
        <v>0</v>
      </c>
      <c r="I86" s="647">
        <f t="shared" si="9"/>
        <v>0</v>
      </c>
      <c r="J86" s="644">
        <v>0</v>
      </c>
      <c r="K86" s="1225">
        <v>0</v>
      </c>
      <c r="L86" s="647">
        <f t="shared" si="7"/>
        <v>0</v>
      </c>
      <c r="M86" s="644">
        <v>1859</v>
      </c>
      <c r="N86" s="644">
        <v>1859</v>
      </c>
      <c r="O86" s="647">
        <f t="shared" si="8"/>
        <v>0</v>
      </c>
      <c r="P86" s="646"/>
      <c r="S86" s="641">
        <f t="shared" si="11"/>
        <v>1859</v>
      </c>
      <c r="T86" s="641">
        <f t="shared" si="12"/>
        <v>1859</v>
      </c>
      <c r="V86" s="641">
        <f t="shared" si="13"/>
        <v>0</v>
      </c>
      <c r="Z86" s="1205">
        <f>SUM(J86:M86)</f>
        <v>1859</v>
      </c>
      <c r="AB86" s="1205"/>
      <c r="AC86" s="1205">
        <v>1859</v>
      </c>
      <c r="AD86" s="1205"/>
    </row>
    <row r="87" spans="1:30" ht="39.75" customHeight="1">
      <c r="A87" s="647">
        <v>34</v>
      </c>
      <c r="B87" s="1225" t="s">
        <v>1591</v>
      </c>
      <c r="C87" s="671" t="s">
        <v>1592</v>
      </c>
      <c r="D87" s="673">
        <v>20</v>
      </c>
      <c r="E87" s="663">
        <v>743</v>
      </c>
      <c r="F87" s="647">
        <v>0</v>
      </c>
      <c r="G87" s="1225">
        <v>0</v>
      </c>
      <c r="H87" s="664">
        <v>0</v>
      </c>
      <c r="I87" s="647">
        <f t="shared" si="9"/>
        <v>0</v>
      </c>
      <c r="J87" s="644">
        <v>0</v>
      </c>
      <c r="K87" s="1225">
        <v>0</v>
      </c>
      <c r="L87" s="647">
        <f t="shared" si="7"/>
        <v>0</v>
      </c>
      <c r="M87" s="644">
        <v>743</v>
      </c>
      <c r="N87" s="644">
        <v>743</v>
      </c>
      <c r="O87" s="647">
        <f t="shared" si="8"/>
        <v>0</v>
      </c>
      <c r="P87" s="646"/>
      <c r="S87" s="641">
        <f t="shared" si="11"/>
        <v>743</v>
      </c>
      <c r="T87" s="641">
        <f t="shared" si="12"/>
        <v>743</v>
      </c>
      <c r="V87" s="641">
        <f t="shared" si="13"/>
        <v>0</v>
      </c>
      <c r="Z87" s="1205">
        <f>SUM(J87:M87)</f>
        <v>743</v>
      </c>
      <c r="AB87" s="1205"/>
      <c r="AC87" s="1205">
        <v>743</v>
      </c>
      <c r="AD87" s="1205"/>
    </row>
    <row r="88" spans="1:30" ht="39.75" customHeight="1">
      <c r="A88" s="647">
        <v>35</v>
      </c>
      <c r="B88" s="1225">
        <v>12</v>
      </c>
      <c r="C88" s="671" t="s">
        <v>1593</v>
      </c>
      <c r="D88" s="673">
        <v>1.52</v>
      </c>
      <c r="E88" s="663">
        <v>40.299999999999997</v>
      </c>
      <c r="F88" s="647">
        <v>0</v>
      </c>
      <c r="G88" s="1225">
        <v>0</v>
      </c>
      <c r="H88" s="664">
        <v>0</v>
      </c>
      <c r="I88" s="647">
        <f t="shared" si="9"/>
        <v>0</v>
      </c>
      <c r="J88" s="644">
        <v>15</v>
      </c>
      <c r="K88" s="1225">
        <v>0</v>
      </c>
      <c r="L88" s="647">
        <f t="shared" si="7"/>
        <v>15</v>
      </c>
      <c r="M88" s="644">
        <v>25.3</v>
      </c>
      <c r="N88" s="644">
        <v>40.299999999999997</v>
      </c>
      <c r="O88" s="647">
        <f t="shared" si="8"/>
        <v>0</v>
      </c>
      <c r="P88" s="646"/>
      <c r="S88" s="641">
        <f t="shared" si="11"/>
        <v>40.299999999999997</v>
      </c>
      <c r="T88" s="641">
        <f t="shared" si="12"/>
        <v>55.3</v>
      </c>
      <c r="V88" s="641">
        <f t="shared" si="13"/>
        <v>-15</v>
      </c>
      <c r="Z88" s="1205">
        <f>SUM(J88:M88)</f>
        <v>55.3</v>
      </c>
      <c r="AB88" s="1205"/>
      <c r="AC88" s="1205">
        <v>40.299999999999997</v>
      </c>
      <c r="AD88" s="1205"/>
    </row>
    <row r="89" spans="1:30" ht="39.75" customHeight="1">
      <c r="A89" s="647"/>
      <c r="B89" s="1225">
        <v>12</v>
      </c>
      <c r="C89" s="671" t="s">
        <v>1594</v>
      </c>
      <c r="D89" s="673">
        <v>38.18</v>
      </c>
      <c r="E89" s="663">
        <v>1458</v>
      </c>
      <c r="F89" s="647">
        <v>0</v>
      </c>
      <c r="G89" s="1225">
        <v>0</v>
      </c>
      <c r="H89" s="664">
        <v>0</v>
      </c>
      <c r="I89" s="647">
        <f t="shared" si="9"/>
        <v>0</v>
      </c>
      <c r="J89" s="644">
        <v>440</v>
      </c>
      <c r="K89" s="1225">
        <v>0</v>
      </c>
      <c r="L89" s="647">
        <f t="shared" si="7"/>
        <v>440</v>
      </c>
      <c r="M89" s="644">
        <v>1018</v>
      </c>
      <c r="N89" s="644">
        <v>1458</v>
      </c>
      <c r="O89" s="647">
        <f t="shared" si="8"/>
        <v>0</v>
      </c>
      <c r="P89" s="646"/>
      <c r="S89" s="641">
        <f t="shared" si="11"/>
        <v>1458</v>
      </c>
      <c r="T89" s="641">
        <f t="shared" si="12"/>
        <v>1898</v>
      </c>
      <c r="V89" s="641">
        <f t="shared" si="13"/>
        <v>-440</v>
      </c>
      <c r="Z89" s="1205">
        <f>SUM(J89:M89)</f>
        <v>1898</v>
      </c>
      <c r="AB89" s="1205"/>
      <c r="AC89" s="1205">
        <v>1458</v>
      </c>
      <c r="AD89" s="1205"/>
    </row>
    <row r="90" spans="1:30" ht="39.75" customHeight="1">
      <c r="A90" s="647">
        <v>36</v>
      </c>
      <c r="B90" s="1225"/>
      <c r="C90" s="671" t="s">
        <v>1595</v>
      </c>
      <c r="D90" s="673">
        <v>8.468</v>
      </c>
      <c r="E90" s="663">
        <v>100</v>
      </c>
      <c r="F90" s="647">
        <v>0</v>
      </c>
      <c r="G90" s="1225">
        <v>0</v>
      </c>
      <c r="H90" s="664">
        <v>0</v>
      </c>
      <c r="I90" s="647">
        <f t="shared" si="9"/>
        <v>0</v>
      </c>
      <c r="J90" s="644">
        <v>100</v>
      </c>
      <c r="K90" s="1225">
        <v>100</v>
      </c>
      <c r="L90" s="647">
        <f t="shared" si="7"/>
        <v>0</v>
      </c>
      <c r="M90" s="644">
        <v>0</v>
      </c>
      <c r="N90" s="644">
        <v>0</v>
      </c>
      <c r="O90" s="647">
        <f t="shared" si="8"/>
        <v>0</v>
      </c>
      <c r="P90" s="646"/>
      <c r="S90" s="641">
        <f t="shared" si="11"/>
        <v>100</v>
      </c>
      <c r="T90" s="641">
        <f t="shared" si="12"/>
        <v>200</v>
      </c>
      <c r="V90" s="641">
        <f t="shared" si="13"/>
        <v>-100</v>
      </c>
      <c r="Y90" s="641">
        <f>J90</f>
        <v>100</v>
      </c>
      <c r="Z90" s="1205">
        <f>SUM(J90:M90)</f>
        <v>200</v>
      </c>
      <c r="AB90" s="1205">
        <v>100</v>
      </c>
      <c r="AC90" s="1205"/>
      <c r="AD90" s="1205"/>
    </row>
    <row r="91" spans="1:30" ht="39.75" customHeight="1">
      <c r="A91" s="642" t="s">
        <v>394</v>
      </c>
      <c r="B91" s="642" t="s">
        <v>1447</v>
      </c>
      <c r="C91" s="642" t="s">
        <v>1448</v>
      </c>
      <c r="D91" s="642" t="s">
        <v>1449</v>
      </c>
      <c r="E91" s="643" t="s">
        <v>1450</v>
      </c>
      <c r="F91" s="643"/>
      <c r="G91" s="642" t="s">
        <v>1451</v>
      </c>
      <c r="H91" s="664"/>
      <c r="I91" s="642"/>
      <c r="J91" s="644" t="s">
        <v>1452</v>
      </c>
      <c r="K91" s="642"/>
      <c r="L91" s="647"/>
      <c r="M91" s="644" t="s">
        <v>1453</v>
      </c>
      <c r="N91" s="644"/>
      <c r="O91" s="644"/>
      <c r="P91" s="642" t="s">
        <v>454</v>
      </c>
      <c r="S91" s="641" t="str">
        <f t="shared" si="11"/>
        <v>Total Estimated Cost</v>
      </c>
      <c r="T91" s="641">
        <f t="shared" si="12"/>
        <v>0</v>
      </c>
      <c r="AB91" s="1205"/>
      <c r="AC91" s="1205"/>
      <c r="AD91" s="1205"/>
    </row>
    <row r="92" spans="1:30" ht="39.75" customHeight="1">
      <c r="A92" s="647">
        <v>37</v>
      </c>
      <c r="B92" s="1225"/>
      <c r="C92" s="671" t="s">
        <v>1596</v>
      </c>
      <c r="D92" s="673">
        <v>28.366</v>
      </c>
      <c r="E92" s="663">
        <v>350</v>
      </c>
      <c r="F92" s="647">
        <v>0</v>
      </c>
      <c r="G92" s="1225">
        <v>0</v>
      </c>
      <c r="H92" s="664">
        <v>0</v>
      </c>
      <c r="I92" s="647">
        <f t="shared" si="9"/>
        <v>0</v>
      </c>
      <c r="J92" s="644">
        <v>100</v>
      </c>
      <c r="K92" s="1225">
        <v>100</v>
      </c>
      <c r="L92" s="647">
        <f t="shared" si="7"/>
        <v>0</v>
      </c>
      <c r="M92" s="644">
        <v>0</v>
      </c>
      <c r="N92" s="644">
        <v>0</v>
      </c>
      <c r="O92" s="647">
        <f t="shared" si="8"/>
        <v>0</v>
      </c>
      <c r="P92" s="646"/>
      <c r="S92" s="641">
        <f t="shared" si="11"/>
        <v>350</v>
      </c>
      <c r="T92" s="641">
        <f t="shared" si="12"/>
        <v>200</v>
      </c>
      <c r="V92" s="641">
        <f t="shared" si="13"/>
        <v>150</v>
      </c>
      <c r="Y92" s="1205">
        <f>J92</f>
        <v>100</v>
      </c>
      <c r="AB92" s="1205">
        <v>100</v>
      </c>
      <c r="AC92" s="1205"/>
      <c r="AD92" s="1205"/>
    </row>
    <row r="93" spans="1:30" ht="39.75" customHeight="1">
      <c r="A93" s="647"/>
      <c r="B93" s="645"/>
      <c r="C93" s="671" t="s">
        <v>287</v>
      </c>
      <c r="D93" s="673"/>
      <c r="E93" s="642">
        <f>SUM(E45:E92)</f>
        <v>31539.55</v>
      </c>
      <c r="F93" s="642">
        <f t="shared" ref="F93:M93" si="15">SUM(F45:F92)</f>
        <v>0</v>
      </c>
      <c r="G93" s="642">
        <f t="shared" si="15"/>
        <v>375.92</v>
      </c>
      <c r="H93" s="642">
        <f t="shared" si="15"/>
        <v>0</v>
      </c>
      <c r="I93" s="642">
        <f t="shared" si="15"/>
        <v>375.92</v>
      </c>
      <c r="J93" s="642">
        <f t="shared" si="15"/>
        <v>13407.949999999999</v>
      </c>
      <c r="K93" s="642">
        <f t="shared" si="15"/>
        <v>1790.85</v>
      </c>
      <c r="L93" s="642">
        <f t="shared" si="15"/>
        <v>11993.020000000002</v>
      </c>
      <c r="M93" s="642">
        <f t="shared" si="15"/>
        <v>31071.180000000004</v>
      </c>
      <c r="N93" s="642">
        <f>SUM(N45:N92)</f>
        <v>26897.9</v>
      </c>
      <c r="O93" s="642">
        <f>SUM(O45:O92)</f>
        <v>16166.3</v>
      </c>
      <c r="P93" s="646"/>
      <c r="S93" s="641">
        <f t="shared" si="11"/>
        <v>31539.55</v>
      </c>
      <c r="T93" s="641">
        <f t="shared" si="12"/>
        <v>59014.840000000011</v>
      </c>
      <c r="V93" s="641">
        <f t="shared" si="13"/>
        <v>-27475.290000000012</v>
      </c>
      <c r="Y93" s="641">
        <f>SUM(Y45:Y92)</f>
        <v>1967.7399999999998</v>
      </c>
      <c r="Z93" s="1205">
        <f>SUM(Z45:Z92)</f>
        <v>54624.240000000005</v>
      </c>
      <c r="AB93" s="1205">
        <v>1790.85</v>
      </c>
      <c r="AC93" s="1205">
        <v>26897.9</v>
      </c>
      <c r="AD93" s="1205"/>
    </row>
    <row r="94" spans="1:30" ht="12.75" customHeight="1">
      <c r="A94" s="2645" t="s">
        <v>1470</v>
      </c>
      <c r="B94" s="2645"/>
      <c r="C94" s="2645"/>
      <c r="D94" s="2645"/>
      <c r="E94" s="2645"/>
      <c r="F94" s="2645"/>
      <c r="G94" s="2645"/>
      <c r="H94" s="2645"/>
      <c r="I94" s="2645"/>
      <c r="J94" s="2645"/>
      <c r="K94" s="2645"/>
      <c r="L94" s="2645"/>
      <c r="M94" s="2645"/>
      <c r="N94" s="2645"/>
      <c r="O94" s="2645"/>
      <c r="P94" s="2645"/>
      <c r="S94" s="641">
        <f t="shared" si="11"/>
        <v>0</v>
      </c>
      <c r="T94" s="641">
        <f t="shared" si="12"/>
        <v>0</v>
      </c>
      <c r="V94" s="641">
        <f t="shared" si="13"/>
        <v>0</v>
      </c>
      <c r="Y94" s="1237" t="s">
        <v>2449</v>
      </c>
      <c r="AB94" s="1205" t="s">
        <v>2449</v>
      </c>
      <c r="AC94" s="1205"/>
    </row>
    <row r="95" spans="1:30" ht="54" customHeight="1">
      <c r="A95" s="683">
        <v>1</v>
      </c>
      <c r="B95" s="667" t="s">
        <v>1455</v>
      </c>
      <c r="C95" s="679" t="s">
        <v>1597</v>
      </c>
      <c r="D95" s="684">
        <v>60</v>
      </c>
      <c r="E95" s="685">
        <v>276</v>
      </c>
      <c r="F95" s="647">
        <v>0</v>
      </c>
      <c r="G95" s="685">
        <v>0</v>
      </c>
      <c r="H95" s="685">
        <v>0</v>
      </c>
      <c r="I95" s="647">
        <f>F95+G95-H95</f>
        <v>0</v>
      </c>
      <c r="J95" s="685">
        <v>138</v>
      </c>
      <c r="K95" s="647">
        <v>0</v>
      </c>
      <c r="L95" s="647">
        <f t="shared" si="7"/>
        <v>138</v>
      </c>
      <c r="M95" s="685">
        <v>138</v>
      </c>
      <c r="N95" s="685">
        <v>276</v>
      </c>
      <c r="O95" s="647">
        <f>L95+M95-N95</f>
        <v>0</v>
      </c>
      <c r="P95" s="679" t="s">
        <v>1598</v>
      </c>
      <c r="S95" s="641">
        <f t="shared" si="11"/>
        <v>276</v>
      </c>
      <c r="T95" s="641">
        <f t="shared" si="12"/>
        <v>414</v>
      </c>
      <c r="V95" s="641">
        <f t="shared" si="13"/>
        <v>-138</v>
      </c>
      <c r="Z95" s="641">
        <f>SUM(J95:M95)</f>
        <v>414</v>
      </c>
      <c r="AB95" s="1205"/>
      <c r="AC95" s="1205">
        <v>276</v>
      </c>
    </row>
    <row r="96" spans="1:30" ht="63.75">
      <c r="A96" s="683">
        <v>2</v>
      </c>
      <c r="B96" s="652" t="s">
        <v>1599</v>
      </c>
      <c r="C96" s="679" t="s">
        <v>1600</v>
      </c>
      <c r="D96" s="652">
        <v>14</v>
      </c>
      <c r="E96" s="652">
        <v>75</v>
      </c>
      <c r="F96" s="647">
        <v>0</v>
      </c>
      <c r="G96" s="652">
        <v>0</v>
      </c>
      <c r="H96" s="652">
        <v>0</v>
      </c>
      <c r="I96" s="647">
        <f>F96+G96-H96</f>
        <v>0</v>
      </c>
      <c r="J96" s="652">
        <v>35</v>
      </c>
      <c r="K96" s="652">
        <v>0</v>
      </c>
      <c r="L96" s="647">
        <f t="shared" si="7"/>
        <v>35</v>
      </c>
      <c r="M96" s="652">
        <v>40</v>
      </c>
      <c r="N96" s="652">
        <v>75</v>
      </c>
      <c r="O96" s="647">
        <f>L96+M96-N96</f>
        <v>0</v>
      </c>
      <c r="P96" s="646" t="s">
        <v>1511</v>
      </c>
      <c r="S96" s="641">
        <f t="shared" si="11"/>
        <v>75</v>
      </c>
      <c r="T96" s="641">
        <f t="shared" si="12"/>
        <v>110</v>
      </c>
      <c r="V96" s="641">
        <f t="shared" si="13"/>
        <v>-35</v>
      </c>
      <c r="Z96" s="1205">
        <f>SUM(J96:M96)</f>
        <v>110</v>
      </c>
      <c r="AB96" s="1205"/>
      <c r="AC96" s="1205">
        <v>75</v>
      </c>
    </row>
    <row r="97" spans="1:29">
      <c r="A97" s="664"/>
      <c r="B97" s="664"/>
      <c r="C97" s="664"/>
      <c r="D97" s="664"/>
      <c r="E97" s="686">
        <f>SUM(E95:E96)</f>
        <v>351</v>
      </c>
      <c r="F97" s="686">
        <f t="shared" ref="F97:O97" si="16">SUM(F95:F96)</f>
        <v>0</v>
      </c>
      <c r="G97" s="686">
        <f t="shared" si="16"/>
        <v>0</v>
      </c>
      <c r="H97" s="686">
        <f t="shared" si="16"/>
        <v>0</v>
      </c>
      <c r="I97" s="686">
        <f t="shared" si="16"/>
        <v>0</v>
      </c>
      <c r="J97" s="686">
        <f t="shared" si="16"/>
        <v>173</v>
      </c>
      <c r="K97" s="686">
        <f t="shared" si="16"/>
        <v>0</v>
      </c>
      <c r="L97" s="686">
        <f t="shared" si="16"/>
        <v>173</v>
      </c>
      <c r="M97" s="686">
        <f t="shared" si="16"/>
        <v>178</v>
      </c>
      <c r="N97" s="686">
        <f t="shared" si="16"/>
        <v>351</v>
      </c>
      <c r="O97" s="686">
        <f t="shared" si="16"/>
        <v>0</v>
      </c>
      <c r="P97" s="664"/>
      <c r="S97" s="641">
        <f t="shared" si="11"/>
        <v>351</v>
      </c>
      <c r="T97" s="641">
        <f t="shared" si="12"/>
        <v>524</v>
      </c>
      <c r="V97" s="641">
        <f t="shared" si="13"/>
        <v>-173</v>
      </c>
      <c r="Y97" s="641">
        <f>SUM(Y95:Y96)</f>
        <v>0</v>
      </c>
      <c r="Z97" s="1205">
        <f>SUM(Z95:Z96)</f>
        <v>524</v>
      </c>
      <c r="AB97" s="1205">
        <v>0</v>
      </c>
      <c r="AC97" s="1205">
        <v>351</v>
      </c>
    </row>
    <row r="98" spans="1:29">
      <c r="A98" s="2647" t="s">
        <v>1601</v>
      </c>
      <c r="B98" s="2647"/>
      <c r="C98" s="2647"/>
      <c r="D98" s="2647"/>
      <c r="E98" s="2647"/>
      <c r="F98" s="2647"/>
      <c r="G98" s="2647"/>
      <c r="H98" s="2647"/>
      <c r="I98" s="2647"/>
      <c r="J98" s="2647"/>
      <c r="K98" s="2647"/>
      <c r="L98" s="2647"/>
      <c r="M98" s="2647"/>
      <c r="N98" s="2647"/>
      <c r="O98" s="2647"/>
      <c r="P98" s="2647"/>
      <c r="S98" s="641">
        <f t="shared" si="11"/>
        <v>0</v>
      </c>
      <c r="T98" s="641">
        <f t="shared" si="12"/>
        <v>0</v>
      </c>
      <c r="V98" s="641">
        <f t="shared" si="13"/>
        <v>0</v>
      </c>
      <c r="Y98" s="1237" t="s">
        <v>2448</v>
      </c>
      <c r="AB98" s="1205" t="s">
        <v>2448</v>
      </c>
      <c r="AC98" s="1205"/>
    </row>
    <row r="99" spans="1:29" ht="63.75">
      <c r="A99" s="643" t="s">
        <v>394</v>
      </c>
      <c r="B99" s="643" t="s">
        <v>1447</v>
      </c>
      <c r="C99" s="643" t="s">
        <v>1448</v>
      </c>
      <c r="D99" s="643"/>
      <c r="E99" s="643" t="s">
        <v>1450</v>
      </c>
      <c r="F99" s="643"/>
      <c r="G99" s="642" t="s">
        <v>1451</v>
      </c>
      <c r="H99" s="642"/>
      <c r="I99" s="642"/>
      <c r="J99" s="644" t="s">
        <v>1452</v>
      </c>
      <c r="K99" s="644"/>
      <c r="L99" s="644"/>
      <c r="M99" s="644" t="s">
        <v>1453</v>
      </c>
      <c r="N99" s="644"/>
      <c r="O99" s="644"/>
      <c r="P99" s="642" t="s">
        <v>454</v>
      </c>
      <c r="S99" s="641" t="str">
        <f t="shared" si="11"/>
        <v>Total Estimated Cost</v>
      </c>
      <c r="T99" s="641">
        <f t="shared" si="12"/>
        <v>0</v>
      </c>
      <c r="AB99" s="1205"/>
      <c r="AC99" s="1205"/>
    </row>
    <row r="100" spans="1:29" ht="15.75">
      <c r="A100" s="653" t="s">
        <v>1454</v>
      </c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S100" s="641">
        <f t="shared" si="11"/>
        <v>0</v>
      </c>
      <c r="T100" s="641">
        <f t="shared" si="12"/>
        <v>0</v>
      </c>
      <c r="V100" s="641">
        <f t="shared" si="13"/>
        <v>0</v>
      </c>
      <c r="AB100" s="1205"/>
      <c r="AC100" s="1205"/>
    </row>
    <row r="101" spans="1:29" ht="45">
      <c r="A101" s="663">
        <v>1</v>
      </c>
      <c r="B101" s="642"/>
      <c r="C101" s="662" t="s">
        <v>1602</v>
      </c>
      <c r="D101" s="687">
        <v>30</v>
      </c>
      <c r="E101" s="685">
        <v>1115</v>
      </c>
      <c r="F101" s="647">
        <v>0</v>
      </c>
      <c r="G101" s="688">
        <v>0</v>
      </c>
      <c r="H101" s="688">
        <v>0</v>
      </c>
      <c r="I101" s="647">
        <f>F101+G101-H101</f>
        <v>0</v>
      </c>
      <c r="J101" s="688">
        <v>115</v>
      </c>
      <c r="K101" s="688">
        <v>0</v>
      </c>
      <c r="L101" s="647">
        <f>I101+J101-K101</f>
        <v>115</v>
      </c>
      <c r="M101" s="688">
        <v>1000</v>
      </c>
      <c r="N101" s="688">
        <v>1115</v>
      </c>
      <c r="O101" s="647">
        <f>L101+M101-N101</f>
        <v>0</v>
      </c>
      <c r="P101" s="642"/>
      <c r="S101" s="641">
        <f t="shared" si="11"/>
        <v>1115</v>
      </c>
      <c r="T101" s="641">
        <f t="shared" si="12"/>
        <v>1230</v>
      </c>
      <c r="V101" s="641">
        <f t="shared" si="13"/>
        <v>-115</v>
      </c>
      <c r="Z101" s="1205">
        <f>SUM(J101:M101)</f>
        <v>1230</v>
      </c>
      <c r="AB101" s="1205"/>
      <c r="AC101" s="1205">
        <v>1115</v>
      </c>
    </row>
    <row r="102" spans="1:29" ht="45">
      <c r="A102" s="663">
        <v>2</v>
      </c>
      <c r="B102" s="642"/>
      <c r="C102" s="662" t="s">
        <v>1603</v>
      </c>
      <c r="D102" s="688">
        <v>10</v>
      </c>
      <c r="E102" s="685">
        <v>372</v>
      </c>
      <c r="F102" s="647">
        <v>0</v>
      </c>
      <c r="G102" s="688">
        <v>0</v>
      </c>
      <c r="H102" s="688">
        <v>0</v>
      </c>
      <c r="I102" s="647">
        <f>F102+G102-H102</f>
        <v>0</v>
      </c>
      <c r="J102" s="688">
        <v>20</v>
      </c>
      <c r="K102" s="688">
        <v>0</v>
      </c>
      <c r="L102" s="647">
        <f>I102+J102-K102</f>
        <v>20</v>
      </c>
      <c r="M102" s="688">
        <v>352</v>
      </c>
      <c r="N102" s="688">
        <v>372</v>
      </c>
      <c r="O102" s="647">
        <f>L102+M102-N102</f>
        <v>0</v>
      </c>
      <c r="P102" s="642"/>
      <c r="S102" s="641">
        <f t="shared" si="11"/>
        <v>372</v>
      </c>
      <c r="T102" s="641">
        <f t="shared" si="12"/>
        <v>392</v>
      </c>
      <c r="V102" s="641">
        <f t="shared" si="13"/>
        <v>-20</v>
      </c>
      <c r="Z102" s="1205">
        <f>SUM(J102:M102)</f>
        <v>392</v>
      </c>
      <c r="AB102" s="1205"/>
      <c r="AC102" s="1205">
        <v>372</v>
      </c>
    </row>
    <row r="103" spans="1:29">
      <c r="A103" s="642"/>
      <c r="B103" s="642"/>
      <c r="C103" s="654"/>
      <c r="D103" s="654"/>
      <c r="E103" s="655">
        <f t="shared" ref="E103:O103" si="17">SUM(E101:E102)</f>
        <v>1487</v>
      </c>
      <c r="F103" s="655">
        <f t="shared" si="17"/>
        <v>0</v>
      </c>
      <c r="G103" s="655">
        <f t="shared" si="17"/>
        <v>0</v>
      </c>
      <c r="H103" s="655">
        <f t="shared" si="17"/>
        <v>0</v>
      </c>
      <c r="I103" s="655">
        <f t="shared" si="17"/>
        <v>0</v>
      </c>
      <c r="J103" s="657">
        <f t="shared" si="17"/>
        <v>135</v>
      </c>
      <c r="K103" s="657">
        <f t="shared" si="17"/>
        <v>0</v>
      </c>
      <c r="L103" s="657">
        <f t="shared" si="17"/>
        <v>135</v>
      </c>
      <c r="M103" s="657">
        <f t="shared" si="17"/>
        <v>1352</v>
      </c>
      <c r="N103" s="657">
        <f t="shared" si="17"/>
        <v>1487</v>
      </c>
      <c r="O103" s="657">
        <f t="shared" si="17"/>
        <v>0</v>
      </c>
      <c r="P103" s="642"/>
      <c r="S103" s="641">
        <f t="shared" si="11"/>
        <v>1487</v>
      </c>
      <c r="T103" s="641">
        <f t="shared" si="12"/>
        <v>1622</v>
      </c>
      <c r="V103" s="641">
        <f t="shared" si="13"/>
        <v>-135</v>
      </c>
      <c r="Y103" s="641">
        <f>SUM(Y101:Y102)</f>
        <v>0</v>
      </c>
      <c r="Z103" s="1205">
        <f>SUM(Z101:Z102)</f>
        <v>1622</v>
      </c>
      <c r="AB103" s="1205">
        <v>0</v>
      </c>
      <c r="AC103" s="1205">
        <v>1487</v>
      </c>
    </row>
    <row r="104" spans="1:29">
      <c r="V104" s="641">
        <f>SUM(V4:V103)</f>
        <v>-62844.12000000001</v>
      </c>
    </row>
    <row r="105" spans="1:29">
      <c r="E105" s="697"/>
      <c r="F105" s="697"/>
      <c r="V105" s="641">
        <f>V104-V93</f>
        <v>-35368.83</v>
      </c>
    </row>
    <row r="108" spans="1:29">
      <c r="C108" s="641" t="s">
        <v>1757</v>
      </c>
    </row>
    <row r="109" spans="1:29">
      <c r="B109" s="641" t="s">
        <v>91</v>
      </c>
      <c r="V109" s="641">
        <f>V54+V77+V92</f>
        <v>1888.99</v>
      </c>
    </row>
    <row r="110" spans="1:29">
      <c r="B110" s="291" t="s">
        <v>1003</v>
      </c>
      <c r="C110" s="543" t="s">
        <v>331</v>
      </c>
      <c r="D110" s="291" t="s">
        <v>425</v>
      </c>
      <c r="E110" s="291" t="s">
        <v>1751</v>
      </c>
      <c r="F110" s="291"/>
      <c r="G110" s="291" t="s">
        <v>1752</v>
      </c>
      <c r="H110" s="1238"/>
      <c r="I110" s="1238"/>
      <c r="V110" s="641">
        <f>V84+V58+V59</f>
        <v>-1105.2399999999998</v>
      </c>
    </row>
    <row r="111" spans="1:29">
      <c r="B111" s="288">
        <v>1</v>
      </c>
      <c r="C111" s="289" t="s">
        <v>1754</v>
      </c>
      <c r="D111" s="565">
        <f>G13+G97+TL_FY11!D55</f>
        <v>40.730000000000004</v>
      </c>
      <c r="E111" s="288">
        <f>J13+J97+TL_FY11!E55</f>
        <v>319.5</v>
      </c>
      <c r="F111" s="288"/>
      <c r="G111" s="288">
        <f>M13+M97+TL_FY11!F55</f>
        <v>178</v>
      </c>
      <c r="H111" s="1239"/>
      <c r="I111" s="1239"/>
      <c r="V111" s="641">
        <f>V109+V110</f>
        <v>783.75000000000023</v>
      </c>
    </row>
    <row r="112" spans="1:29">
      <c r="B112" s="288">
        <v>2</v>
      </c>
      <c r="C112" s="289" t="s">
        <v>1755</v>
      </c>
      <c r="D112" s="565">
        <f>G10+G93+G103+TL_FY11!D54</f>
        <v>4368.6499999999987</v>
      </c>
      <c r="E112" s="565">
        <f>J10+J93+J103+TL_FY11!E54</f>
        <v>14960.529999999999</v>
      </c>
      <c r="F112" s="565"/>
      <c r="G112" s="565">
        <f>M10+M93+M103+TL_FY11!F54</f>
        <v>32423.180000000004</v>
      </c>
      <c r="H112" s="1240"/>
      <c r="I112" s="1240"/>
    </row>
    <row r="113" spans="2:15">
      <c r="B113" s="288">
        <v>3</v>
      </c>
      <c r="C113" s="289" t="s">
        <v>1753</v>
      </c>
      <c r="D113" s="2641">
        <v>0</v>
      </c>
      <c r="E113" s="2641">
        <v>540</v>
      </c>
      <c r="F113" s="1226"/>
      <c r="G113" s="2641">
        <v>0</v>
      </c>
      <c r="H113" s="1241"/>
      <c r="I113" s="1241"/>
    </row>
    <row r="114" spans="2:15">
      <c r="B114" s="288">
        <v>4</v>
      </c>
      <c r="C114" s="289" t="s">
        <v>1756</v>
      </c>
      <c r="D114" s="2642"/>
      <c r="E114" s="2642"/>
      <c r="F114" s="1227"/>
      <c r="G114" s="2642"/>
      <c r="H114" s="1241"/>
      <c r="I114" s="1241"/>
    </row>
    <row r="115" spans="2:15">
      <c r="B115" s="288">
        <v>5</v>
      </c>
      <c r="C115" s="510" t="s">
        <v>287</v>
      </c>
      <c r="D115" s="990">
        <f>SUM(D111:D113)</f>
        <v>4409.3799999999983</v>
      </c>
      <c r="E115" s="990">
        <f>SUM(E111:E113)</f>
        <v>15820.029999999999</v>
      </c>
      <c r="F115" s="990"/>
      <c r="G115" s="990">
        <f>SUM(G111:G113)</f>
        <v>32601.180000000004</v>
      </c>
      <c r="H115" s="1242"/>
      <c r="I115" s="1242"/>
      <c r="M115" s="697">
        <f>D115/10^2</f>
        <v>44.09379999999998</v>
      </c>
      <c r="N115" s="697"/>
      <c r="O115" s="697"/>
    </row>
    <row r="116" spans="2:15">
      <c r="B116"/>
      <c r="C116"/>
      <c r="D116"/>
      <c r="E116"/>
      <c r="F116"/>
      <c r="G116"/>
      <c r="H116"/>
      <c r="I116"/>
    </row>
    <row r="117" spans="2:15">
      <c r="B117" t="s">
        <v>1750</v>
      </c>
      <c r="C117"/>
      <c r="D117"/>
      <c r="E117"/>
      <c r="F117"/>
      <c r="G117"/>
      <c r="H117"/>
      <c r="I117"/>
    </row>
    <row r="118" spans="2:15">
      <c r="B118" s="291" t="s">
        <v>1003</v>
      </c>
      <c r="C118" s="543" t="s">
        <v>331</v>
      </c>
      <c r="D118" s="291" t="s">
        <v>425</v>
      </c>
      <c r="E118" s="291" t="s">
        <v>1751</v>
      </c>
      <c r="F118" s="291"/>
      <c r="G118" s="291" t="s">
        <v>1752</v>
      </c>
      <c r="H118" s="1238"/>
      <c r="I118" s="1238"/>
    </row>
    <row r="119" spans="2:15">
      <c r="B119" s="288">
        <v>1</v>
      </c>
      <c r="C119" s="289" t="s">
        <v>1755</v>
      </c>
      <c r="D119" s="565">
        <f>TL_FY11!D60</f>
        <v>3875.19</v>
      </c>
      <c r="E119" s="565">
        <f>E10+E45+E46+E47+E48+E49+E50+E51+E56+E57+E58+E60+E61+E64+E70+E71+E72+E73+E75+E79+E81+E82+E84+E85+E90+TL_FY11!E60</f>
        <v>23514.05</v>
      </c>
      <c r="F119" s="565"/>
      <c r="G119" s="565">
        <f>E52+E53+E59+E62+E63+E65+E66+E68+E74+E76+E78+E83+E86+E87+E88+E89+E103+TL_FY11!F60</f>
        <v>18505</v>
      </c>
      <c r="H119" s="1240"/>
      <c r="I119" s="1240"/>
    </row>
    <row r="120" spans="2:15">
      <c r="B120" s="288">
        <v>2</v>
      </c>
      <c r="C120" s="289" t="s">
        <v>1754</v>
      </c>
      <c r="D120" s="288">
        <f>0+TL_FY11!D61</f>
        <v>0</v>
      </c>
      <c r="E120" s="565">
        <f>E13+TL_FY11!E61</f>
        <v>24616.09</v>
      </c>
      <c r="F120" s="565"/>
      <c r="G120" s="288">
        <f>E97+TL_FY11!F61</f>
        <v>351</v>
      </c>
      <c r="H120" s="1239"/>
      <c r="I120" s="1239"/>
    </row>
    <row r="121" spans="2:15">
      <c r="B121" s="288">
        <v>3</v>
      </c>
      <c r="C121" s="289" t="s">
        <v>1753</v>
      </c>
      <c r="D121" s="2641">
        <v>0</v>
      </c>
      <c r="E121" s="2641">
        <v>0</v>
      </c>
      <c r="F121" s="1226"/>
      <c r="G121" s="2641">
        <v>0</v>
      </c>
      <c r="H121" s="1241"/>
      <c r="I121" s="1241"/>
    </row>
    <row r="122" spans="2:15">
      <c r="B122" s="288">
        <v>4</v>
      </c>
      <c r="C122" s="289" t="s">
        <v>1756</v>
      </c>
      <c r="D122" s="2642"/>
      <c r="E122" s="2642"/>
      <c r="F122" s="1227"/>
      <c r="G122" s="2642"/>
      <c r="H122" s="1241"/>
      <c r="I122" s="1241"/>
    </row>
    <row r="123" spans="2:15">
      <c r="B123" s="288">
        <v>5</v>
      </c>
      <c r="C123" s="510" t="s">
        <v>287</v>
      </c>
      <c r="D123" s="990">
        <f>SUM(D119:D120)</f>
        <v>3875.19</v>
      </c>
      <c r="E123" s="990">
        <f>SUM(E119:E120)</f>
        <v>48130.14</v>
      </c>
      <c r="F123" s="990"/>
      <c r="G123" s="330">
        <f>SUM(G119:G120)</f>
        <v>18856</v>
      </c>
      <c r="H123" s="1241"/>
      <c r="I123" s="1241"/>
    </row>
    <row r="126" spans="2:15">
      <c r="B126" t="s">
        <v>1759</v>
      </c>
    </row>
    <row r="128" spans="2:15">
      <c r="B128" s="1206" t="s">
        <v>2443</v>
      </c>
      <c r="C128" s="1207"/>
      <c r="D128" s="1207"/>
      <c r="E128" s="1207"/>
      <c r="F128" s="1207"/>
      <c r="G128" s="1207"/>
      <c r="H128" s="1207"/>
      <c r="I128" s="1207"/>
      <c r="J128" s="1207"/>
      <c r="K128" s="1207"/>
      <c r="L128" s="1207"/>
    </row>
    <row r="129" spans="2:12">
      <c r="B129" s="1206"/>
      <c r="C129" s="1207"/>
      <c r="D129" s="1207"/>
      <c r="E129" s="1207"/>
      <c r="F129" s="1207"/>
      <c r="G129" s="1207"/>
      <c r="H129" s="1207"/>
      <c r="I129" s="1207"/>
      <c r="J129" s="1207"/>
      <c r="K129" s="1207"/>
      <c r="L129" s="1207"/>
    </row>
    <row r="130" spans="2:12">
      <c r="B130" s="1208" t="s">
        <v>1003</v>
      </c>
      <c r="C130" s="1208" t="s">
        <v>331</v>
      </c>
      <c r="D130" s="1208" t="s">
        <v>425</v>
      </c>
      <c r="E130" s="1208" t="s">
        <v>1751</v>
      </c>
      <c r="F130" s="1228"/>
      <c r="G130" s="1208" t="s">
        <v>1752</v>
      </c>
      <c r="H130" s="1243"/>
      <c r="I130" s="1243"/>
      <c r="J130" s="1207"/>
      <c r="K130" s="1207"/>
      <c r="L130" s="1207"/>
    </row>
    <row r="131" spans="2:12">
      <c r="B131" s="1209">
        <v>1</v>
      </c>
      <c r="C131" s="1210" t="s">
        <v>1755</v>
      </c>
      <c r="D131" s="1211">
        <f>G10+G93+G103</f>
        <v>543.70000000000005</v>
      </c>
      <c r="E131" s="1211">
        <f>J10+J93+J103</f>
        <v>14227.169999999998</v>
      </c>
      <c r="F131" s="1228"/>
      <c r="G131" s="1211">
        <f>M10+M93+M103</f>
        <v>32423.180000000004</v>
      </c>
      <c r="H131" s="1243"/>
      <c r="I131" s="1243"/>
      <c r="J131" s="1207"/>
      <c r="K131" s="1207"/>
      <c r="L131" s="1207"/>
    </row>
    <row r="132" spans="2:12">
      <c r="B132" s="1209">
        <v>2</v>
      </c>
      <c r="C132" s="1210" t="s">
        <v>1754</v>
      </c>
      <c r="D132" s="1211">
        <f>G13+G97</f>
        <v>25.75</v>
      </c>
      <c r="E132" s="1211">
        <f>J13+J97</f>
        <v>292.25</v>
      </c>
      <c r="F132" s="1228"/>
      <c r="G132" s="1211">
        <f>M13+M97</f>
        <v>178</v>
      </c>
      <c r="H132" s="1243"/>
      <c r="I132" s="1243"/>
      <c r="J132" s="1207"/>
      <c r="K132" s="1207"/>
      <c r="L132" s="1207"/>
    </row>
    <row r="133" spans="2:12">
      <c r="B133" s="1209">
        <v>3</v>
      </c>
      <c r="C133" s="1210" t="s">
        <v>1753</v>
      </c>
      <c r="D133" s="2649">
        <v>0</v>
      </c>
      <c r="E133" s="2649">
        <f>100+440</f>
        <v>540</v>
      </c>
      <c r="F133" s="1219"/>
      <c r="G133" s="2649">
        <v>0</v>
      </c>
      <c r="H133" s="1244"/>
      <c r="I133" s="1244"/>
      <c r="J133" s="1207"/>
      <c r="K133" s="1207"/>
      <c r="L133" s="1207"/>
    </row>
    <row r="134" spans="2:12">
      <c r="B134" s="1209">
        <v>4</v>
      </c>
      <c r="C134" s="1210" t="s">
        <v>1756</v>
      </c>
      <c r="D134" s="2650"/>
      <c r="E134" s="2650"/>
      <c r="F134" s="1220"/>
      <c r="G134" s="2650"/>
      <c r="H134" s="1244"/>
      <c r="I134" s="1244"/>
      <c r="J134" s="1207"/>
      <c r="K134" s="1207"/>
      <c r="L134" s="1207"/>
    </row>
    <row r="136" spans="2:12">
      <c r="B136" s="1205" t="s">
        <v>2066</v>
      </c>
    </row>
    <row r="137" spans="2:12">
      <c r="B137" s="1217" t="s">
        <v>1003</v>
      </c>
      <c r="C137" s="1217" t="s">
        <v>331</v>
      </c>
      <c r="D137" s="1218" t="s">
        <v>425</v>
      </c>
      <c r="E137" s="1218" t="s">
        <v>1751</v>
      </c>
      <c r="F137" s="1218"/>
      <c r="G137" s="1218" t="s">
        <v>1752</v>
      </c>
      <c r="H137" s="1245"/>
      <c r="I137" s="1245"/>
      <c r="J137" s="1207"/>
      <c r="K137" s="1207"/>
      <c r="L137" s="1207"/>
    </row>
    <row r="138" spans="2:12">
      <c r="B138" s="1209">
        <v>1</v>
      </c>
      <c r="C138" s="1208" t="s">
        <v>1755</v>
      </c>
      <c r="D138" s="1209">
        <f>D131+TL_FY11!E69</f>
        <v>4368.6499999999987</v>
      </c>
      <c r="E138" s="1209">
        <f>E131+TL_FY11!F69</f>
        <v>14960.529999999999</v>
      </c>
      <c r="F138" s="1221"/>
      <c r="G138" s="1209">
        <f>G131+TL_FY11!G69</f>
        <v>32423.180000000004</v>
      </c>
      <c r="H138" s="1244"/>
      <c r="I138" s="1244"/>
      <c r="J138" s="1207"/>
      <c r="K138" s="1207"/>
      <c r="L138" s="1207"/>
    </row>
    <row r="139" spans="2:12">
      <c r="B139" s="1209">
        <v>2</v>
      </c>
      <c r="C139" s="1208" t="s">
        <v>1754</v>
      </c>
      <c r="D139" s="1209">
        <f>D132+TL_FY11!E70</f>
        <v>46.34</v>
      </c>
      <c r="E139" s="1209">
        <f>E132+TL_FY11!F70</f>
        <v>319.5</v>
      </c>
      <c r="F139" s="1221"/>
      <c r="G139" s="1209">
        <f>G132+TL_FY11!G70</f>
        <v>178</v>
      </c>
      <c r="H139" s="1244"/>
      <c r="I139" s="1244"/>
      <c r="J139" s="1207"/>
      <c r="K139" s="1207"/>
      <c r="L139" s="1207"/>
    </row>
    <row r="140" spans="2:12">
      <c r="B140" s="1209">
        <v>3</v>
      </c>
      <c r="C140" s="1208" t="s">
        <v>2445</v>
      </c>
      <c r="D140" s="2651">
        <f>D133</f>
        <v>0</v>
      </c>
      <c r="E140" s="2651">
        <f>E133</f>
        <v>540</v>
      </c>
      <c r="F140" s="1221"/>
      <c r="G140" s="2651">
        <f>G133</f>
        <v>0</v>
      </c>
      <c r="H140" s="1244"/>
      <c r="I140" s="1244"/>
      <c r="J140" s="1207"/>
      <c r="K140" s="1207"/>
      <c r="L140" s="1207"/>
    </row>
    <row r="141" spans="2:12">
      <c r="B141" s="1209">
        <v>4</v>
      </c>
      <c r="C141" s="1208" t="s">
        <v>1756</v>
      </c>
      <c r="D141" s="2651"/>
      <c r="E141" s="2651"/>
      <c r="F141" s="1221"/>
      <c r="G141" s="2651"/>
      <c r="H141" s="1244"/>
      <c r="I141" s="1244"/>
      <c r="J141" s="1207"/>
      <c r="K141" s="1207"/>
      <c r="L141" s="1207"/>
    </row>
    <row r="142" spans="2:12">
      <c r="B142" s="1212">
        <v>5</v>
      </c>
      <c r="C142" s="1228" t="s">
        <v>287</v>
      </c>
      <c r="D142" s="1229">
        <f>SUM(D138:D141)</f>
        <v>4414.9899999999989</v>
      </c>
      <c r="E142" s="1229">
        <f>SUM(E138:E141)</f>
        <v>15820.029999999999</v>
      </c>
      <c r="F142" s="1229"/>
      <c r="G142" s="1229">
        <f>SUM(G138:G141)</f>
        <v>32601.180000000004</v>
      </c>
      <c r="H142" s="1246"/>
      <c r="I142" s="1246"/>
      <c r="J142" s="1207"/>
      <c r="K142" s="1207"/>
      <c r="L142" s="1207"/>
    </row>
    <row r="144" spans="2:12">
      <c r="B144" s="1205" t="s">
        <v>1750</v>
      </c>
    </row>
    <row r="145" spans="2:9">
      <c r="B145" s="1208" t="s">
        <v>1003</v>
      </c>
      <c r="C145" s="1208" t="s">
        <v>331</v>
      </c>
      <c r="D145" s="1208" t="s">
        <v>425</v>
      </c>
      <c r="E145" s="1208" t="s">
        <v>1751</v>
      </c>
      <c r="F145" s="1228"/>
      <c r="G145" s="1208" t="s">
        <v>1752</v>
      </c>
      <c r="H145" s="1243"/>
      <c r="I145" s="1243"/>
    </row>
    <row r="146" spans="2:9">
      <c r="B146" s="1209">
        <v>1</v>
      </c>
      <c r="C146" s="1210" t="s">
        <v>1755</v>
      </c>
      <c r="D146" s="1211"/>
      <c r="E146" s="1211"/>
      <c r="F146" s="1228"/>
      <c r="G146" s="1211"/>
      <c r="H146" s="1243"/>
      <c r="I146" s="1243"/>
    </row>
    <row r="147" spans="2:9">
      <c r="B147" s="1209">
        <v>2</v>
      </c>
      <c r="C147" s="1210" t="s">
        <v>1754</v>
      </c>
      <c r="D147" s="1211"/>
      <c r="E147" s="1211"/>
      <c r="F147" s="1228"/>
      <c r="G147" s="1211"/>
      <c r="H147" s="1243"/>
      <c r="I147" s="1243"/>
    </row>
    <row r="148" spans="2:9">
      <c r="B148" s="1209">
        <v>3</v>
      </c>
      <c r="C148" s="1210" t="s">
        <v>1753</v>
      </c>
      <c r="D148" s="2649"/>
      <c r="E148" s="2649"/>
      <c r="F148" s="1219"/>
      <c r="G148" s="2649"/>
      <c r="H148" s="1244"/>
      <c r="I148" s="1244"/>
    </row>
    <row r="149" spans="2:9">
      <c r="B149" s="1209">
        <v>4</v>
      </c>
      <c r="C149" s="1210" t="s">
        <v>1756</v>
      </c>
      <c r="D149" s="2650"/>
      <c r="E149" s="2650"/>
      <c r="F149" s="1220"/>
      <c r="G149" s="2650"/>
      <c r="H149" s="1244"/>
      <c r="I149" s="1244"/>
    </row>
    <row r="152" spans="2:9">
      <c r="B152" s="1217" t="s">
        <v>1003</v>
      </c>
      <c r="C152" s="1217" t="s">
        <v>331</v>
      </c>
      <c r="D152" s="1218" t="s">
        <v>425</v>
      </c>
      <c r="E152" s="1218" t="s">
        <v>1751</v>
      </c>
      <c r="F152" s="1218"/>
      <c r="G152" s="1218" t="s">
        <v>1752</v>
      </c>
      <c r="H152" s="1245"/>
      <c r="I152" s="1245"/>
    </row>
    <row r="153" spans="2:9">
      <c r="B153" s="1209">
        <v>1</v>
      </c>
      <c r="C153" s="1208" t="s">
        <v>1755</v>
      </c>
      <c r="D153" s="1209"/>
      <c r="E153" s="1209"/>
      <c r="F153" s="1221"/>
      <c r="G153" s="1209"/>
      <c r="H153" s="1244"/>
      <c r="I153" s="1244"/>
    </row>
    <row r="154" spans="2:9">
      <c r="B154" s="1209">
        <v>2</v>
      </c>
      <c r="C154" s="1208" t="s">
        <v>1754</v>
      </c>
      <c r="D154" s="1209"/>
      <c r="E154" s="1209"/>
      <c r="F154" s="1221"/>
      <c r="G154" s="1209"/>
      <c r="H154" s="1244"/>
      <c r="I154" s="1244"/>
    </row>
    <row r="155" spans="2:9">
      <c r="B155" s="1209">
        <v>3</v>
      </c>
      <c r="C155" s="1208" t="s">
        <v>2445</v>
      </c>
      <c r="D155" s="2651"/>
      <c r="E155" s="2651"/>
      <c r="F155" s="1221"/>
      <c r="G155" s="2651"/>
      <c r="H155" s="1244"/>
      <c r="I155" s="1244"/>
    </row>
    <row r="156" spans="2:9">
      <c r="B156" s="1209">
        <v>4</v>
      </c>
      <c r="C156" s="1208" t="s">
        <v>1756</v>
      </c>
      <c r="D156" s="2651"/>
      <c r="E156" s="2651"/>
      <c r="F156" s="1221"/>
      <c r="G156" s="2651"/>
      <c r="H156" s="1244"/>
      <c r="I156" s="1244"/>
    </row>
  </sheetData>
  <mergeCells count="37">
    <mergeCell ref="D148:D149"/>
    <mergeCell ref="E148:E149"/>
    <mergeCell ref="G148:G149"/>
    <mergeCell ref="D155:D156"/>
    <mergeCell ref="E155:E156"/>
    <mergeCell ref="G155:G156"/>
    <mergeCell ref="A16:P16"/>
    <mergeCell ref="D133:D134"/>
    <mergeCell ref="E133:E134"/>
    <mergeCell ref="G133:G134"/>
    <mergeCell ref="D140:D141"/>
    <mergeCell ref="E140:E141"/>
    <mergeCell ref="G140:G141"/>
    <mergeCell ref="A98:P98"/>
    <mergeCell ref="E18:E26"/>
    <mergeCell ref="J18:J21"/>
    <mergeCell ref="A22:C22"/>
    <mergeCell ref="A28:P28"/>
    <mergeCell ref="E30:E42"/>
    <mergeCell ref="J30:J42"/>
    <mergeCell ref="A36:C36"/>
    <mergeCell ref="A44:P44"/>
    <mergeCell ref="A1:P1"/>
    <mergeCell ref="A3:P3"/>
    <mergeCell ref="A11:P11"/>
    <mergeCell ref="A12:P12"/>
    <mergeCell ref="A14:P14"/>
    <mergeCell ref="M66:M67"/>
    <mergeCell ref="A94:P94"/>
    <mergeCell ref="D113:D114"/>
    <mergeCell ref="E113:E114"/>
    <mergeCell ref="G113:G114"/>
    <mergeCell ref="D121:D122"/>
    <mergeCell ref="E121:E122"/>
    <mergeCell ref="G121:G122"/>
    <mergeCell ref="E66:E67"/>
    <mergeCell ref="J66:J67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 differentFirst="1" scaleWithDoc="0" alignWithMargins="0">
    <oddFooter>&amp;CPage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AF139"/>
  <sheetViews>
    <sheetView topLeftCell="A8" workbookViewId="0">
      <selection activeCell="A12" sqref="A12"/>
    </sheetView>
  </sheetViews>
  <sheetFormatPr defaultRowHeight="15"/>
  <cols>
    <col min="1" max="1" width="3.28515625" style="1147" customWidth="1"/>
    <col min="2" max="2" width="7" style="1147" customWidth="1"/>
    <col min="3" max="3" width="17.7109375" style="1147" customWidth="1"/>
    <col min="4" max="4" width="14.7109375" style="1147" customWidth="1"/>
    <col min="5" max="5" width="15.85546875" style="1147" customWidth="1"/>
    <col min="6" max="6" width="17.28515625" style="1147" customWidth="1"/>
    <col min="7" max="9" width="12.28515625" style="1147" customWidth="1"/>
    <col min="10" max="12" width="17.140625" style="1147" customWidth="1"/>
    <col min="13" max="13" width="16" style="1147" customWidth="1"/>
    <col min="14" max="14" width="17.5703125" style="1147" customWidth="1"/>
    <col min="15" max="15" width="14.42578125" style="1147" customWidth="1"/>
    <col min="16" max="16" width="13.28515625" style="1147" customWidth="1"/>
    <col min="17" max="17" width="19" style="1147" customWidth="1"/>
    <col min="18" max="18" width="9.140625" style="1147"/>
    <col min="19" max="19" width="11.5703125" style="1147" bestFit="1" customWidth="1"/>
    <col min="20" max="16384" width="9.140625" style="1147"/>
  </cols>
  <sheetData>
    <row r="1" spans="1:23" ht="15.75">
      <c r="A1" s="2659" t="s">
        <v>2299</v>
      </c>
      <c r="B1" s="2659"/>
      <c r="C1" s="2659"/>
      <c r="D1" s="2659"/>
      <c r="E1" s="2659"/>
      <c r="F1" s="2659"/>
      <c r="G1" s="2659"/>
      <c r="H1" s="2659"/>
      <c r="I1" s="2659"/>
      <c r="J1" s="2659"/>
      <c r="K1" s="2659"/>
      <c r="L1" s="2659"/>
      <c r="M1" s="2659"/>
      <c r="N1" s="2659"/>
      <c r="O1" s="2659"/>
      <c r="P1" s="1146"/>
      <c r="Q1" s="1146"/>
      <c r="R1" s="1146"/>
      <c r="S1" s="1146"/>
      <c r="T1" s="1146"/>
    </row>
    <row r="2" spans="1:23" ht="57" customHeight="1">
      <c r="A2" s="1161" t="s">
        <v>1422</v>
      </c>
      <c r="B2" s="1161" t="s">
        <v>455</v>
      </c>
      <c r="C2" s="1161" t="s">
        <v>1448</v>
      </c>
      <c r="D2" s="1161" t="s">
        <v>1390</v>
      </c>
      <c r="E2" s="1161" t="s">
        <v>2300</v>
      </c>
      <c r="F2" s="1161" t="s">
        <v>2301</v>
      </c>
      <c r="G2" s="1161" t="s">
        <v>2452</v>
      </c>
      <c r="H2" s="1161" t="s">
        <v>2438</v>
      </c>
      <c r="I2" s="1161" t="s">
        <v>2451</v>
      </c>
      <c r="J2" s="1161" t="s">
        <v>2302</v>
      </c>
      <c r="K2" s="1161" t="s">
        <v>2438</v>
      </c>
      <c r="L2" s="1161" t="s">
        <v>2451</v>
      </c>
      <c r="M2" s="1161" t="s">
        <v>2303</v>
      </c>
      <c r="N2" s="1161" t="s">
        <v>2264</v>
      </c>
      <c r="O2" s="1161" t="s">
        <v>2304</v>
      </c>
      <c r="P2" s="1146"/>
      <c r="Q2" s="1146" t="s">
        <v>2360</v>
      </c>
      <c r="R2" s="1146" t="s">
        <v>2361</v>
      </c>
      <c r="S2" s="1146"/>
      <c r="T2" s="1146"/>
    </row>
    <row r="3" spans="1:23" ht="17.25" customHeight="1">
      <c r="A3" s="2660" t="s">
        <v>1454</v>
      </c>
      <c r="B3" s="2660"/>
      <c r="C3" s="2660"/>
      <c r="D3" s="2660"/>
      <c r="E3" s="2660"/>
      <c r="F3" s="2660"/>
      <c r="G3" s="2660"/>
      <c r="H3" s="2660"/>
      <c r="I3" s="2660"/>
      <c r="J3" s="2660"/>
      <c r="K3" s="2660"/>
      <c r="L3" s="2660"/>
      <c r="M3" s="2660"/>
      <c r="N3" s="2660"/>
      <c r="O3" s="2660"/>
      <c r="P3" s="1146"/>
      <c r="Q3" s="1146"/>
      <c r="R3" s="1150"/>
      <c r="S3" s="1151"/>
      <c r="T3" s="1151"/>
      <c r="U3" s="1151"/>
      <c r="V3" s="1150"/>
      <c r="W3" s="1152"/>
    </row>
    <row r="4" spans="1:23" ht="44.25" customHeight="1">
      <c r="A4" s="1153">
        <v>1</v>
      </c>
      <c r="B4" s="1154"/>
      <c r="C4" s="1155" t="s">
        <v>2305</v>
      </c>
      <c r="D4" s="1154">
        <v>1638.84</v>
      </c>
      <c r="E4" s="1153">
        <v>18.071999999999999</v>
      </c>
      <c r="F4" s="1154">
        <v>1041.3599999999999</v>
      </c>
      <c r="G4" s="1154">
        <v>351.47</v>
      </c>
      <c r="H4" s="1250">
        <v>1392.83</v>
      </c>
      <c r="I4" s="1249">
        <f>F4+G4-H4</f>
        <v>0</v>
      </c>
      <c r="J4" s="1154">
        <v>24.97</v>
      </c>
      <c r="K4" s="632">
        <v>24.97</v>
      </c>
      <c r="L4" s="1249">
        <f>I4+J4-K4</f>
        <v>0</v>
      </c>
      <c r="M4" s="625"/>
      <c r="N4" s="1148" t="s">
        <v>2306</v>
      </c>
      <c r="O4" s="1148" t="s">
        <v>2307</v>
      </c>
      <c r="P4" s="1146"/>
      <c r="Q4" s="1230">
        <f>SUM(F4:G4)</f>
        <v>1392.83</v>
      </c>
      <c r="R4" s="1150">
        <f>J4</f>
        <v>24.97</v>
      </c>
      <c r="S4" s="1156"/>
      <c r="V4" s="1150"/>
      <c r="W4" s="1150"/>
    </row>
    <row r="5" spans="1:23" ht="54" customHeight="1">
      <c r="A5" s="1153"/>
      <c r="B5" s="1154"/>
      <c r="C5" s="1154" t="s">
        <v>2308</v>
      </c>
      <c r="D5" s="1154"/>
      <c r="E5" s="1153">
        <v>0.75</v>
      </c>
      <c r="F5" s="1154"/>
      <c r="G5" s="1154"/>
      <c r="H5" s="632"/>
      <c r="I5" s="1249">
        <f t="shared" ref="I5:I20" si="0">F5+G5-H5</f>
        <v>0</v>
      </c>
      <c r="J5" s="1148"/>
      <c r="K5" s="632"/>
      <c r="L5" s="1249">
        <f t="shared" ref="L5:L20" si="1">I5+J5-K5</f>
        <v>0</v>
      </c>
      <c r="M5" s="625"/>
      <c r="N5" s="1148"/>
      <c r="O5" s="1148"/>
      <c r="P5" s="1146"/>
      <c r="Q5" s="1146"/>
      <c r="R5" s="1150"/>
      <c r="S5" s="1156"/>
      <c r="V5" s="1150"/>
      <c r="W5" s="1150"/>
    </row>
    <row r="6" spans="1:23" ht="59.25" customHeight="1">
      <c r="A6" s="1153">
        <v>2</v>
      </c>
      <c r="B6" s="1154"/>
      <c r="C6" s="1155" t="s">
        <v>2309</v>
      </c>
      <c r="D6" s="1154">
        <v>296.73</v>
      </c>
      <c r="E6" s="1153">
        <v>6.91</v>
      </c>
      <c r="F6" s="1154">
        <v>140.97</v>
      </c>
      <c r="G6" s="1154">
        <v>28.66</v>
      </c>
      <c r="H6" s="632">
        <v>169.63</v>
      </c>
      <c r="I6" s="1249">
        <f t="shared" si="0"/>
        <v>0</v>
      </c>
      <c r="J6" s="1148"/>
      <c r="K6" s="632"/>
      <c r="L6" s="1249">
        <f t="shared" si="1"/>
        <v>0</v>
      </c>
      <c r="M6" s="625"/>
      <c r="N6" s="1148" t="s">
        <v>2306</v>
      </c>
      <c r="O6" s="1148" t="s">
        <v>2310</v>
      </c>
      <c r="P6" s="1146"/>
      <c r="Q6" s="1146">
        <f>SUM(F6:J6)</f>
        <v>339.26</v>
      </c>
      <c r="R6" s="1150"/>
      <c r="S6" s="1156"/>
      <c r="V6" s="1150"/>
      <c r="W6" s="1150"/>
    </row>
    <row r="7" spans="1:23" ht="59.25" customHeight="1">
      <c r="A7" s="1153"/>
      <c r="B7" s="1154"/>
      <c r="C7" s="1157" t="s">
        <v>2311</v>
      </c>
      <c r="D7" s="1154"/>
      <c r="E7" s="1153">
        <v>4.5</v>
      </c>
      <c r="F7" s="1154"/>
      <c r="G7" s="1148"/>
      <c r="H7" s="632"/>
      <c r="I7" s="1249">
        <f t="shared" si="0"/>
        <v>0</v>
      </c>
      <c r="J7" s="1148"/>
      <c r="K7" s="632"/>
      <c r="L7" s="1249">
        <f t="shared" si="1"/>
        <v>0</v>
      </c>
      <c r="M7" s="625"/>
      <c r="N7" s="1148"/>
      <c r="O7" s="1148"/>
      <c r="P7" s="1146"/>
      <c r="Q7" s="1146"/>
      <c r="R7" s="1150"/>
      <c r="S7" s="1156"/>
      <c r="V7" s="1150"/>
      <c r="W7" s="1150"/>
    </row>
    <row r="8" spans="1:23" ht="55.5" customHeight="1">
      <c r="A8" s="1153">
        <v>3</v>
      </c>
      <c r="B8" s="1154"/>
      <c r="C8" s="1155" t="s">
        <v>2312</v>
      </c>
      <c r="D8" s="1154">
        <v>582</v>
      </c>
      <c r="E8" s="1153">
        <v>37.921999999999997</v>
      </c>
      <c r="F8" s="1154">
        <v>97.97</v>
      </c>
      <c r="G8" s="1154">
        <v>432.58</v>
      </c>
      <c r="H8" s="632">
        <v>530.54999999999995</v>
      </c>
      <c r="I8" s="1249">
        <f t="shared" si="0"/>
        <v>0</v>
      </c>
      <c r="J8" s="1154">
        <v>67.48</v>
      </c>
      <c r="K8" s="632">
        <v>67.48</v>
      </c>
      <c r="L8" s="1249">
        <f t="shared" si="1"/>
        <v>0</v>
      </c>
      <c r="M8" s="625"/>
      <c r="N8" s="1148" t="s">
        <v>2306</v>
      </c>
      <c r="O8" s="1148" t="s">
        <v>2313</v>
      </c>
      <c r="P8" s="1146"/>
      <c r="Q8" s="1146">
        <f>SUM(F8:G8)</f>
        <v>530.54999999999995</v>
      </c>
      <c r="R8" s="1150">
        <f>J8</f>
        <v>67.48</v>
      </c>
      <c r="S8" s="1156"/>
      <c r="V8" s="1150"/>
      <c r="W8" s="1150"/>
    </row>
    <row r="9" spans="1:23" ht="61.5" customHeight="1">
      <c r="A9" s="1153">
        <v>4</v>
      </c>
      <c r="B9" s="1154"/>
      <c r="C9" s="1155" t="s">
        <v>2314</v>
      </c>
      <c r="D9" s="1154">
        <v>838</v>
      </c>
      <c r="E9" s="1153">
        <v>48.387999999999998</v>
      </c>
      <c r="F9" s="1154">
        <v>13.46</v>
      </c>
      <c r="G9" s="1154">
        <v>513.80999999999995</v>
      </c>
      <c r="H9" s="632">
        <v>527.27</v>
      </c>
      <c r="I9" s="1249">
        <f t="shared" si="0"/>
        <v>0</v>
      </c>
      <c r="J9" s="1154">
        <v>135.51</v>
      </c>
      <c r="K9" s="632">
        <v>135.51</v>
      </c>
      <c r="L9" s="1249">
        <f t="shared" si="1"/>
        <v>0</v>
      </c>
      <c r="M9" s="625"/>
      <c r="N9" s="1148" t="s">
        <v>2306</v>
      </c>
      <c r="O9" s="1148" t="s">
        <v>2315</v>
      </c>
      <c r="P9" s="1146"/>
      <c r="Q9" s="1198">
        <f>SUM(F9:G9)</f>
        <v>527.27</v>
      </c>
      <c r="R9" s="1150">
        <f>J9</f>
        <v>135.51</v>
      </c>
      <c r="S9" s="1156"/>
      <c r="V9" s="1150"/>
      <c r="W9" s="1150"/>
    </row>
    <row r="10" spans="1:23" ht="74.25" customHeight="1">
      <c r="A10" s="1153">
        <v>5</v>
      </c>
      <c r="B10" s="1154"/>
      <c r="C10" s="1155" t="s">
        <v>2316</v>
      </c>
      <c r="D10" s="1154">
        <v>535</v>
      </c>
      <c r="E10" s="1153">
        <v>19.123999999999999</v>
      </c>
      <c r="F10" s="1154">
        <v>67.95</v>
      </c>
      <c r="G10" s="1154">
        <v>283.77</v>
      </c>
      <c r="H10" s="632">
        <v>351.71999999999997</v>
      </c>
      <c r="I10" s="1249">
        <f t="shared" si="0"/>
        <v>0</v>
      </c>
      <c r="J10" s="1154"/>
      <c r="K10" s="632"/>
      <c r="L10" s="1249">
        <f t="shared" si="1"/>
        <v>0</v>
      </c>
      <c r="M10" s="625"/>
      <c r="N10" s="1148" t="s">
        <v>2306</v>
      </c>
      <c r="O10" s="1148" t="s">
        <v>2317</v>
      </c>
      <c r="P10" s="1146"/>
      <c r="Q10" s="1146">
        <f>SUM(F10:J10)</f>
        <v>703.43999999999994</v>
      </c>
      <c r="R10" s="1150"/>
      <c r="S10" s="1156"/>
      <c r="V10" s="1150"/>
      <c r="W10" s="1150"/>
    </row>
    <row r="11" spans="1:23" ht="45.75" customHeight="1">
      <c r="A11" s="1153">
        <v>6</v>
      </c>
      <c r="B11" s="1154"/>
      <c r="C11" s="1155" t="s">
        <v>2318</v>
      </c>
      <c r="D11" s="1154">
        <v>3318.72</v>
      </c>
      <c r="E11" s="1153">
        <v>7.8620000000000001</v>
      </c>
      <c r="F11" s="1154">
        <v>2918.12</v>
      </c>
      <c r="G11" s="1154">
        <v>132.94</v>
      </c>
      <c r="H11" s="632"/>
      <c r="I11" s="1249">
        <f t="shared" si="0"/>
        <v>3051.06</v>
      </c>
      <c r="J11" s="1154">
        <v>6.38</v>
      </c>
      <c r="K11" s="632">
        <v>3057.44</v>
      </c>
      <c r="L11" s="1249">
        <f t="shared" si="1"/>
        <v>0</v>
      </c>
      <c r="M11" s="625"/>
      <c r="N11" s="1148"/>
      <c r="O11" s="1176" t="s">
        <v>2319</v>
      </c>
      <c r="P11" s="1146"/>
      <c r="R11" s="1231">
        <f>SUM(F11:J11)</f>
        <v>6108.5</v>
      </c>
      <c r="S11" s="1156"/>
      <c r="V11" s="1150"/>
      <c r="W11" s="1150"/>
    </row>
    <row r="12" spans="1:23" ht="100.5" customHeight="1">
      <c r="A12" s="1153"/>
      <c r="B12" s="1154"/>
      <c r="C12" s="1158" t="s">
        <v>2320</v>
      </c>
      <c r="D12" s="1154"/>
      <c r="E12" s="1153">
        <v>3</v>
      </c>
      <c r="F12" s="1154"/>
      <c r="G12" s="1178">
        <v>191.09</v>
      </c>
      <c r="H12" s="632"/>
      <c r="I12" s="1249">
        <f t="shared" si="0"/>
        <v>191.09</v>
      </c>
      <c r="J12" s="1148"/>
      <c r="K12" s="632"/>
      <c r="L12" s="1249">
        <f t="shared" si="1"/>
        <v>191.09</v>
      </c>
      <c r="M12" s="625"/>
      <c r="N12" s="1148"/>
      <c r="O12" s="1148"/>
      <c r="P12" s="1146"/>
      <c r="Q12" s="1146"/>
      <c r="R12" s="1150"/>
      <c r="S12" s="1156"/>
      <c r="V12" s="1150"/>
      <c r="W12" s="1150"/>
    </row>
    <row r="13" spans="1:23" ht="53.25" customHeight="1">
      <c r="A13" s="1153">
        <v>7</v>
      </c>
      <c r="B13" s="1154"/>
      <c r="C13" s="1155" t="s">
        <v>2321</v>
      </c>
      <c r="D13" s="1154">
        <v>110</v>
      </c>
      <c r="E13" s="1153">
        <v>6.46</v>
      </c>
      <c r="F13" s="1154">
        <v>32.75</v>
      </c>
      <c r="G13" s="1154">
        <v>200.94</v>
      </c>
      <c r="H13" s="632">
        <v>233.69</v>
      </c>
      <c r="I13" s="1249">
        <f t="shared" si="0"/>
        <v>0</v>
      </c>
      <c r="J13" s="1154">
        <v>3.82</v>
      </c>
      <c r="K13" s="632">
        <v>3.82</v>
      </c>
      <c r="L13" s="1249">
        <f t="shared" si="1"/>
        <v>0</v>
      </c>
      <c r="M13" s="625"/>
      <c r="N13" s="1148"/>
      <c r="O13" s="1148" t="s">
        <v>2322</v>
      </c>
      <c r="P13" s="1146"/>
      <c r="Q13" s="1198">
        <f>SUM(F13:G13)</f>
        <v>233.69</v>
      </c>
      <c r="R13" s="1150">
        <f>J13</f>
        <v>3.82</v>
      </c>
      <c r="S13" s="1156"/>
      <c r="V13" s="1150"/>
      <c r="W13" s="1150"/>
    </row>
    <row r="14" spans="1:23" ht="66" customHeight="1">
      <c r="A14" s="1153"/>
      <c r="B14" s="1154"/>
      <c r="C14" s="1154" t="s">
        <v>2323</v>
      </c>
      <c r="D14" s="1154"/>
      <c r="E14" s="1153">
        <v>2</v>
      </c>
      <c r="F14" s="1154"/>
      <c r="G14" s="1154"/>
      <c r="H14" s="632"/>
      <c r="I14" s="1249">
        <f t="shared" si="0"/>
        <v>0</v>
      </c>
      <c r="J14" s="1154"/>
      <c r="K14" s="632"/>
      <c r="L14" s="1249">
        <f t="shared" si="1"/>
        <v>0</v>
      </c>
      <c r="M14" s="625"/>
      <c r="N14" s="1148"/>
      <c r="O14" s="1148"/>
      <c r="P14" s="1146"/>
      <c r="Q14" s="1146"/>
      <c r="R14" s="1150"/>
      <c r="S14" s="1156"/>
      <c r="V14" s="1150"/>
      <c r="W14" s="1150"/>
    </row>
    <row r="15" spans="1:23" ht="56.25" customHeight="1">
      <c r="A15" s="1153">
        <v>8</v>
      </c>
      <c r="B15" s="1154"/>
      <c r="C15" s="1155" t="s">
        <v>2324</v>
      </c>
      <c r="D15" s="1154">
        <v>1233</v>
      </c>
      <c r="E15" s="1153">
        <v>3.9140000000000001</v>
      </c>
      <c r="F15" s="1154">
        <v>784.69</v>
      </c>
      <c r="G15" s="1154">
        <v>33.43</v>
      </c>
      <c r="H15" s="632"/>
      <c r="I15" s="1249">
        <f t="shared" si="0"/>
        <v>818.12</v>
      </c>
      <c r="J15" s="1154">
        <v>20.399999999999999</v>
      </c>
      <c r="K15" s="632">
        <v>838.52</v>
      </c>
      <c r="L15" s="1249">
        <f t="shared" si="1"/>
        <v>0</v>
      </c>
      <c r="M15" s="625"/>
      <c r="N15" s="1148"/>
      <c r="O15" s="1176" t="s">
        <v>2325</v>
      </c>
      <c r="P15" s="1146"/>
      <c r="R15" s="1231">
        <f>SUM(F15:J15)</f>
        <v>1656.64</v>
      </c>
      <c r="S15" s="1156"/>
      <c r="V15" s="1150"/>
      <c r="W15" s="1150"/>
    </row>
    <row r="16" spans="1:23" ht="64.5" customHeight="1">
      <c r="A16" s="1153">
        <v>9</v>
      </c>
      <c r="B16" s="1154"/>
      <c r="C16" s="1155" t="s">
        <v>2326</v>
      </c>
      <c r="D16" s="1154">
        <v>51</v>
      </c>
      <c r="E16" s="1153">
        <v>0.14000000000000001</v>
      </c>
      <c r="F16" s="1154">
        <v>140.88</v>
      </c>
      <c r="G16" s="1154">
        <v>7.27</v>
      </c>
      <c r="H16" s="632">
        <v>148.15</v>
      </c>
      <c r="I16" s="1249">
        <f t="shared" si="0"/>
        <v>0</v>
      </c>
      <c r="J16" s="1154">
        <v>1.31</v>
      </c>
      <c r="K16" s="632">
        <v>1.31</v>
      </c>
      <c r="L16" s="1249">
        <f t="shared" si="1"/>
        <v>0</v>
      </c>
      <c r="M16" s="625"/>
      <c r="N16" s="1148"/>
      <c r="O16" s="1159" t="s">
        <v>2327</v>
      </c>
      <c r="P16" s="1146"/>
      <c r="Q16" s="1146">
        <f>SUM(F16:G16)</f>
        <v>148.15</v>
      </c>
      <c r="R16" s="1150">
        <f>J16</f>
        <v>1.31</v>
      </c>
      <c r="S16" s="1156"/>
      <c r="V16" s="1150"/>
      <c r="W16" s="1150"/>
    </row>
    <row r="17" spans="1:32" ht="64.5" customHeight="1">
      <c r="A17" s="1153"/>
      <c r="B17" s="1154"/>
      <c r="C17" s="1155" t="s">
        <v>2328</v>
      </c>
      <c r="D17" s="1154"/>
      <c r="E17" s="1153">
        <v>3</v>
      </c>
      <c r="F17" s="1154"/>
      <c r="G17" s="1154"/>
      <c r="H17" s="1154"/>
      <c r="I17" s="1249">
        <f t="shared" si="0"/>
        <v>0</v>
      </c>
      <c r="J17" s="1154"/>
      <c r="K17" s="632"/>
      <c r="L17" s="1249">
        <f t="shared" si="1"/>
        <v>0</v>
      </c>
      <c r="M17" s="625"/>
      <c r="N17" s="1148"/>
      <c r="O17" s="1148"/>
      <c r="P17" s="1146"/>
      <c r="Q17" s="1146"/>
      <c r="R17" s="1150"/>
      <c r="S17" s="1156"/>
      <c r="T17" s="1156"/>
      <c r="V17" s="1150"/>
      <c r="W17" s="1150"/>
    </row>
    <row r="18" spans="1:32" ht="54" customHeight="1">
      <c r="A18" s="1153">
        <v>10</v>
      </c>
      <c r="B18" s="1154"/>
      <c r="C18" s="1155" t="s">
        <v>2329</v>
      </c>
      <c r="D18" s="1154">
        <v>807</v>
      </c>
      <c r="E18" s="1153">
        <v>33</v>
      </c>
      <c r="F18" s="1154">
        <v>3.72</v>
      </c>
      <c r="G18" s="1154">
        <v>566.04999999999995</v>
      </c>
      <c r="H18" s="1154"/>
      <c r="I18" s="1249">
        <f t="shared" si="0"/>
        <v>569.77</v>
      </c>
      <c r="J18" s="1154">
        <v>19.8</v>
      </c>
      <c r="K18" s="632">
        <v>589.56999999999994</v>
      </c>
      <c r="L18" s="1249">
        <f t="shared" si="1"/>
        <v>0</v>
      </c>
      <c r="M18" s="625"/>
      <c r="N18" s="1148"/>
      <c r="O18" s="1176" t="s">
        <v>2330</v>
      </c>
      <c r="P18" s="1146"/>
      <c r="R18" s="1146">
        <f>SUM(F18:J18)</f>
        <v>1159.3399999999999</v>
      </c>
      <c r="S18" s="1156"/>
      <c r="T18" s="1156"/>
      <c r="V18" s="1150"/>
      <c r="W18" s="1150"/>
    </row>
    <row r="19" spans="1:32" ht="54" customHeight="1">
      <c r="A19" s="1153">
        <v>11</v>
      </c>
      <c r="B19" s="1154"/>
      <c r="C19" s="1155" t="s">
        <v>2331</v>
      </c>
      <c r="D19" s="1154">
        <v>1428</v>
      </c>
      <c r="E19" s="1153">
        <v>60</v>
      </c>
      <c r="F19" s="1154"/>
      <c r="G19" s="1154">
        <v>717.21</v>
      </c>
      <c r="H19" s="1148"/>
      <c r="I19" s="1249">
        <f t="shared" si="0"/>
        <v>717.21</v>
      </c>
      <c r="J19" s="1154">
        <v>339.75</v>
      </c>
      <c r="K19" s="632">
        <v>1056.96</v>
      </c>
      <c r="L19" s="1249">
        <f t="shared" si="1"/>
        <v>0</v>
      </c>
      <c r="M19" s="625"/>
      <c r="N19" s="1148"/>
      <c r="O19" s="1176" t="s">
        <v>2332</v>
      </c>
      <c r="P19" s="1146"/>
      <c r="R19" s="1146">
        <f>SUM(F19:J19)</f>
        <v>1774.17</v>
      </c>
      <c r="S19" s="1156"/>
      <c r="T19" s="1156"/>
      <c r="V19" s="1150"/>
      <c r="W19" s="1150"/>
    </row>
    <row r="20" spans="1:32" ht="66" customHeight="1">
      <c r="A20" s="1153">
        <v>12</v>
      </c>
      <c r="B20" s="1154"/>
      <c r="C20" s="1155" t="s">
        <v>2333</v>
      </c>
      <c r="D20" s="1154">
        <v>225</v>
      </c>
      <c r="E20" s="1153">
        <v>1</v>
      </c>
      <c r="F20" s="1154"/>
      <c r="G20" s="1154">
        <v>58.95</v>
      </c>
      <c r="H20" s="1148"/>
      <c r="I20" s="1249">
        <f t="shared" si="0"/>
        <v>58.95</v>
      </c>
      <c r="J20" s="1154">
        <v>101.86</v>
      </c>
      <c r="K20" s="632">
        <v>160.81</v>
      </c>
      <c r="L20" s="1249">
        <f t="shared" si="1"/>
        <v>0</v>
      </c>
      <c r="M20" s="625"/>
      <c r="N20" s="1148" t="s">
        <v>2306</v>
      </c>
      <c r="O20" s="1177" t="s">
        <v>2334</v>
      </c>
      <c r="P20" s="1146"/>
      <c r="R20" s="1146">
        <f>SUM(F20:J20)</f>
        <v>219.76</v>
      </c>
      <c r="S20" s="1156"/>
      <c r="T20" s="1156"/>
      <c r="V20" s="1150"/>
      <c r="W20" s="1150"/>
    </row>
    <row r="21" spans="1:32">
      <c r="A21" s="1153"/>
      <c r="B21" s="634"/>
      <c r="C21" s="1149" t="s">
        <v>2335</v>
      </c>
      <c r="D21" s="1154">
        <f t="shared" ref="D21:M21" si="2">SUM(D4:D20)</f>
        <v>11063.289999999999</v>
      </c>
      <c r="E21" s="636">
        <f t="shared" si="2"/>
        <v>256.04199999999997</v>
      </c>
      <c r="F21" s="1160">
        <f t="shared" si="2"/>
        <v>5241.8700000000008</v>
      </c>
      <c r="G21" s="1161">
        <f t="shared" si="2"/>
        <v>3518.1699999999992</v>
      </c>
      <c r="H21" s="1161">
        <f t="shared" si="2"/>
        <v>3353.84</v>
      </c>
      <c r="I21" s="1161">
        <f t="shared" si="2"/>
        <v>5406.2</v>
      </c>
      <c r="J21" s="1161">
        <f t="shared" si="2"/>
        <v>721.28</v>
      </c>
      <c r="K21" s="1161">
        <f t="shared" si="2"/>
        <v>5936.39</v>
      </c>
      <c r="L21" s="1161">
        <f t="shared" si="2"/>
        <v>191.09</v>
      </c>
      <c r="M21" s="1161">
        <f t="shared" si="2"/>
        <v>0</v>
      </c>
      <c r="N21" s="1148"/>
      <c r="O21" s="1148"/>
      <c r="P21" s="1146"/>
      <c r="Q21" s="1146"/>
      <c r="R21" s="1150"/>
      <c r="S21" s="1151"/>
      <c r="T21" s="1156"/>
      <c r="U21" s="1156"/>
      <c r="V21" s="1162"/>
      <c r="W21" s="1150"/>
    </row>
    <row r="22" spans="1:32" ht="25.5" hidden="1">
      <c r="A22" s="1153"/>
      <c r="B22" s="634"/>
      <c r="C22" s="634" t="s">
        <v>2336</v>
      </c>
      <c r="D22" s="1154"/>
      <c r="E22" s="636"/>
      <c r="F22" s="1154"/>
      <c r="G22" s="1148"/>
      <c r="H22" s="1148"/>
      <c r="I22" s="1148"/>
      <c r="J22" s="1148"/>
      <c r="K22" s="1148"/>
      <c r="L22" s="1148"/>
      <c r="M22" s="1148"/>
      <c r="N22" s="1148"/>
      <c r="O22" s="1148"/>
      <c r="P22" s="1146"/>
      <c r="Q22" s="1146"/>
      <c r="R22" s="1150"/>
      <c r="S22" s="1151"/>
      <c r="T22" s="1156"/>
      <c r="U22" s="1156"/>
      <c r="V22" s="1162"/>
      <c r="W22" s="1150"/>
      <c r="X22" s="1152"/>
      <c r="Y22" s="1152"/>
      <c r="Z22" s="1152"/>
      <c r="AA22" s="1152"/>
      <c r="AB22" s="1152"/>
      <c r="AC22" s="1152"/>
      <c r="AD22" s="1152"/>
      <c r="AE22" s="1152"/>
      <c r="AF22" s="1152"/>
    </row>
    <row r="23" spans="1:32" ht="51" hidden="1">
      <c r="A23" s="1153"/>
      <c r="B23" s="634"/>
      <c r="C23" s="1154" t="s">
        <v>2337</v>
      </c>
      <c r="D23" s="1154"/>
      <c r="E23" s="1153">
        <v>16.149999999999999</v>
      </c>
      <c r="F23" s="1154">
        <v>1135.51</v>
      </c>
      <c r="G23" s="1154">
        <v>10.8</v>
      </c>
      <c r="H23" s="1154"/>
      <c r="I23" s="1154"/>
      <c r="J23" s="1154"/>
      <c r="K23" s="1154"/>
      <c r="L23" s="1154"/>
      <c r="M23" s="1154"/>
      <c r="N23" s="1148"/>
      <c r="O23" s="1148" t="s">
        <v>2338</v>
      </c>
      <c r="P23" s="1146"/>
      <c r="Q23" s="1146"/>
      <c r="R23" s="1150"/>
      <c r="S23" s="1151"/>
      <c r="T23" s="1156"/>
      <c r="U23" s="1156"/>
      <c r="V23" s="1162"/>
      <c r="W23" s="1150"/>
      <c r="X23" s="1152"/>
      <c r="Y23" s="1152"/>
      <c r="Z23" s="1152"/>
      <c r="AA23" s="1152"/>
      <c r="AB23" s="1152"/>
      <c r="AC23" s="1152"/>
      <c r="AD23" s="1152"/>
      <c r="AE23" s="1152"/>
      <c r="AF23" s="1152"/>
    </row>
    <row r="24" spans="1:32" ht="63.75" hidden="1">
      <c r="A24" s="1153"/>
      <c r="B24" s="634"/>
      <c r="C24" s="1154" t="s">
        <v>2339</v>
      </c>
      <c r="D24" s="1154"/>
      <c r="E24" s="1153">
        <v>2.25</v>
      </c>
      <c r="F24" s="1154"/>
      <c r="G24" s="1154"/>
      <c r="H24" s="1154"/>
      <c r="I24" s="1154"/>
      <c r="J24" s="1154"/>
      <c r="K24" s="1154"/>
      <c r="L24" s="1154"/>
      <c r="M24" s="1154"/>
      <c r="N24" s="1148"/>
      <c r="O24" s="1148" t="s">
        <v>2340</v>
      </c>
      <c r="P24" s="1146"/>
      <c r="Q24" s="1146"/>
      <c r="R24" s="1150"/>
      <c r="S24" s="1151"/>
      <c r="T24" s="1156"/>
      <c r="U24" s="1156"/>
      <c r="V24" s="1162"/>
      <c r="W24" s="1150"/>
      <c r="X24" s="1152"/>
      <c r="Y24" s="1152"/>
      <c r="Z24" s="1152"/>
      <c r="AA24" s="1152"/>
      <c r="AB24" s="1152"/>
      <c r="AC24" s="1152"/>
      <c r="AD24" s="1152"/>
      <c r="AE24" s="1152"/>
      <c r="AF24" s="1152"/>
    </row>
    <row r="25" spans="1:32" ht="51" hidden="1">
      <c r="A25" s="1153"/>
      <c r="B25" s="634"/>
      <c r="C25" s="1154" t="s">
        <v>2341</v>
      </c>
      <c r="D25" s="1154"/>
      <c r="E25" s="1153">
        <v>31.48</v>
      </c>
      <c r="F25" s="1154"/>
      <c r="G25" s="1154">
        <v>104.89</v>
      </c>
      <c r="H25" s="1154"/>
      <c r="I25" s="1154"/>
      <c r="J25" s="1154">
        <v>0.97</v>
      </c>
      <c r="K25" s="1154"/>
      <c r="L25" s="1154"/>
      <c r="M25" s="1154"/>
      <c r="N25" s="1148"/>
      <c r="O25" s="1148" t="s">
        <v>2342</v>
      </c>
      <c r="P25" s="1146"/>
      <c r="Q25" s="1146"/>
      <c r="R25" s="1150"/>
      <c r="S25" s="1151"/>
      <c r="T25" s="1156"/>
      <c r="U25" s="1156"/>
      <c r="V25" s="1162"/>
      <c r="W25" s="1150"/>
      <c r="X25" s="1152"/>
      <c r="Y25" s="1152"/>
      <c r="Z25" s="1152"/>
      <c r="AA25" s="1152"/>
      <c r="AB25" s="1152"/>
      <c r="AC25" s="1152"/>
      <c r="AD25" s="1152"/>
      <c r="AE25" s="1152"/>
      <c r="AF25" s="1152"/>
    </row>
    <row r="26" spans="1:32" hidden="1">
      <c r="A26" s="1153"/>
      <c r="B26" s="634"/>
      <c r="C26" s="1154" t="s">
        <v>2343</v>
      </c>
      <c r="D26" s="1154"/>
      <c r="E26" s="1153">
        <v>5</v>
      </c>
      <c r="F26" s="1154"/>
      <c r="G26" s="1148"/>
      <c r="H26" s="1148"/>
      <c r="I26" s="1148"/>
      <c r="J26" s="1148"/>
      <c r="K26" s="1148"/>
      <c r="L26" s="1148"/>
      <c r="M26" s="1148"/>
      <c r="N26" s="1148"/>
      <c r="O26" s="1148"/>
      <c r="P26" s="1146"/>
      <c r="Q26" s="1146"/>
      <c r="R26" s="1150"/>
      <c r="S26" s="1151"/>
      <c r="T26" s="1156"/>
      <c r="U26" s="1156"/>
      <c r="V26" s="1162"/>
      <c r="W26" s="1150"/>
      <c r="X26" s="1152"/>
      <c r="Y26" s="1152"/>
      <c r="Z26" s="1152"/>
      <c r="AA26" s="1152"/>
      <c r="AB26" s="1152"/>
      <c r="AC26" s="1152"/>
      <c r="AD26" s="1152"/>
      <c r="AE26" s="1152"/>
      <c r="AF26" s="1152"/>
    </row>
    <row r="27" spans="1:32" ht="63.75" hidden="1">
      <c r="A27" s="1153"/>
      <c r="B27" s="634"/>
      <c r="C27" s="1155" t="s">
        <v>2344</v>
      </c>
      <c r="D27" s="1154"/>
      <c r="E27" s="1153">
        <v>0.20200000000000001</v>
      </c>
      <c r="F27" s="1154">
        <v>5.52</v>
      </c>
      <c r="G27" s="1148"/>
      <c r="H27" s="1148"/>
      <c r="I27" s="1148"/>
      <c r="J27" s="1154">
        <v>11.11</v>
      </c>
      <c r="K27" s="1154"/>
      <c r="L27" s="1154"/>
      <c r="M27" s="1148"/>
      <c r="N27" s="1148"/>
      <c r="O27" s="1148" t="s">
        <v>2345</v>
      </c>
      <c r="P27" s="1146"/>
      <c r="Q27" s="1146"/>
      <c r="R27" s="1150"/>
      <c r="S27" s="1151"/>
      <c r="T27" s="1156"/>
      <c r="U27" s="1156"/>
      <c r="V27" s="1162"/>
      <c r="W27" s="1150"/>
      <c r="X27" s="1152"/>
      <c r="Y27" s="1152"/>
      <c r="Z27" s="1152"/>
      <c r="AA27" s="1152"/>
      <c r="AB27" s="1152"/>
      <c r="AC27" s="1152"/>
      <c r="AD27" s="1152"/>
      <c r="AE27" s="1152"/>
      <c r="AF27" s="1152"/>
    </row>
    <row r="28" spans="1:32" hidden="1">
      <c r="A28" s="1153"/>
      <c r="B28" s="634"/>
      <c r="C28" s="1154" t="s">
        <v>2343</v>
      </c>
      <c r="D28" s="1154"/>
      <c r="E28" s="1153">
        <v>8.6999999999999993</v>
      </c>
      <c r="F28" s="1154"/>
      <c r="G28" s="1148"/>
      <c r="H28" s="1148"/>
      <c r="I28" s="1148"/>
      <c r="J28" s="1148"/>
      <c r="K28" s="1148"/>
      <c r="L28" s="1148"/>
      <c r="M28" s="1148"/>
      <c r="N28" s="1148"/>
      <c r="O28" s="1148"/>
      <c r="P28" s="1146"/>
      <c r="Q28" s="1146"/>
      <c r="R28" s="1150"/>
      <c r="S28" s="1151"/>
      <c r="T28" s="1156"/>
      <c r="U28" s="1156"/>
      <c r="V28" s="1162"/>
      <c r="W28" s="1150"/>
      <c r="X28" s="1152"/>
      <c r="Y28" s="1152"/>
      <c r="Z28" s="1152"/>
      <c r="AA28" s="1152"/>
      <c r="AB28" s="1152"/>
      <c r="AC28" s="1152"/>
      <c r="AD28" s="1152"/>
      <c r="AE28" s="1152"/>
      <c r="AF28" s="1152"/>
    </row>
    <row r="29" spans="1:32" ht="76.5" hidden="1">
      <c r="A29" s="1153"/>
      <c r="B29" s="634"/>
      <c r="C29" s="1155" t="s">
        <v>2346</v>
      </c>
      <c r="D29" s="1154">
        <v>319</v>
      </c>
      <c r="E29" s="1153">
        <v>12.692</v>
      </c>
      <c r="F29" s="1154">
        <v>0.34</v>
      </c>
      <c r="G29" s="1154">
        <v>191.09</v>
      </c>
      <c r="H29" s="1154"/>
      <c r="I29" s="1154"/>
      <c r="J29" s="1148"/>
      <c r="K29" s="1148"/>
      <c r="L29" s="1148"/>
      <c r="M29" s="1148"/>
      <c r="N29" s="1148"/>
      <c r="O29" s="1176" t="s">
        <v>2347</v>
      </c>
      <c r="P29" s="1146"/>
      <c r="Q29" s="1146"/>
      <c r="R29" s="1150"/>
      <c r="S29" s="1151"/>
      <c r="T29" s="1156"/>
      <c r="U29" s="1156"/>
      <c r="V29" s="1162"/>
      <c r="W29" s="1150"/>
      <c r="X29" s="1152"/>
      <c r="Y29" s="1152"/>
      <c r="Z29" s="1152"/>
      <c r="AA29" s="1152"/>
      <c r="AB29" s="1152"/>
      <c r="AC29" s="1152"/>
      <c r="AD29" s="1152"/>
      <c r="AE29" s="1152"/>
      <c r="AF29" s="1152"/>
    </row>
    <row r="30" spans="1:32" ht="25.5" hidden="1">
      <c r="A30" s="1153"/>
      <c r="B30" s="634"/>
      <c r="C30" s="1155" t="s">
        <v>2348</v>
      </c>
      <c r="D30" s="1154"/>
      <c r="E30" s="1153">
        <v>10</v>
      </c>
      <c r="F30" s="1154"/>
      <c r="G30" s="1148"/>
      <c r="H30" s="1148"/>
      <c r="I30" s="1148"/>
      <c r="J30" s="1148"/>
      <c r="K30" s="1148"/>
      <c r="L30" s="1148"/>
      <c r="M30" s="1148"/>
      <c r="N30" s="1148"/>
      <c r="O30" s="1148"/>
      <c r="P30" s="1146"/>
      <c r="Q30" s="1146"/>
      <c r="R30" s="1150"/>
      <c r="S30" s="1151"/>
      <c r="T30" s="1156"/>
      <c r="U30" s="1156"/>
      <c r="V30" s="1162"/>
      <c r="W30" s="1150"/>
      <c r="X30" s="1152"/>
      <c r="Y30" s="1152"/>
      <c r="Z30" s="1152"/>
      <c r="AA30" s="1152"/>
      <c r="AB30" s="1152"/>
      <c r="AC30" s="1152"/>
      <c r="AD30" s="1152"/>
      <c r="AE30" s="1152"/>
      <c r="AF30" s="1152"/>
    </row>
    <row r="31" spans="1:32" ht="15.75" hidden="1">
      <c r="A31" s="1153"/>
      <c r="B31" s="634"/>
      <c r="C31" s="634" t="s">
        <v>2335</v>
      </c>
      <c r="D31" s="1154"/>
      <c r="E31" s="636">
        <f>SUM(E23:E30)</f>
        <v>86.47399999999999</v>
      </c>
      <c r="F31" s="1163">
        <f>SUM(F23:F30)</f>
        <v>1141.3699999999999</v>
      </c>
      <c r="G31" s="1164">
        <f>SUM(G23:G30)</f>
        <v>306.77999999999997</v>
      </c>
      <c r="H31" s="1164"/>
      <c r="I31" s="1164"/>
      <c r="J31" s="1164">
        <f>SUM(J23:J30)</f>
        <v>12.08</v>
      </c>
      <c r="K31" s="1164"/>
      <c r="L31" s="1164"/>
      <c r="M31" s="1148"/>
      <c r="N31" s="1148"/>
      <c r="O31" s="1148"/>
      <c r="P31" s="1146"/>
      <c r="Q31" s="1230">
        <f>SUM(Q4:Q30)</f>
        <v>3875.19</v>
      </c>
      <c r="R31" s="1230">
        <f>SUM(R4:R30)</f>
        <v>11151.5</v>
      </c>
      <c r="S31" s="1151">
        <f>Q31/10^2</f>
        <v>38.751899999999999</v>
      </c>
      <c r="T31" s="1156"/>
      <c r="U31" s="1156"/>
      <c r="V31" s="1162"/>
      <c r="W31" s="1150"/>
      <c r="X31" s="1152"/>
      <c r="Y31" s="1152"/>
      <c r="Z31" s="1152"/>
      <c r="AA31" s="1152"/>
      <c r="AB31" s="1152"/>
      <c r="AC31" s="1152"/>
      <c r="AD31" s="1152"/>
      <c r="AE31" s="1152"/>
      <c r="AF31" s="1152"/>
    </row>
    <row r="32" spans="1:32" hidden="1">
      <c r="A32" s="1153"/>
      <c r="B32" s="634"/>
      <c r="C32" s="634"/>
      <c r="D32" s="1154"/>
      <c r="E32" s="636"/>
      <c r="F32" s="1154"/>
      <c r="G32" s="1148"/>
      <c r="H32" s="1148"/>
      <c r="I32" s="1148"/>
      <c r="J32" s="1148"/>
      <c r="K32" s="1148"/>
      <c r="L32" s="1148"/>
      <c r="M32" s="1148"/>
      <c r="N32" s="1148"/>
      <c r="O32" s="1148"/>
      <c r="P32" s="1146"/>
      <c r="Q32" s="1146"/>
      <c r="R32" s="1150"/>
      <c r="S32" s="1151"/>
      <c r="T32" s="1156"/>
      <c r="U32" s="1156"/>
      <c r="V32" s="1162"/>
      <c r="W32" s="1150"/>
      <c r="X32" s="1152"/>
      <c r="Y32" s="1152"/>
      <c r="Z32" s="1152"/>
      <c r="AA32" s="1152"/>
      <c r="AB32" s="1152"/>
      <c r="AC32" s="1152"/>
      <c r="AD32" s="1152"/>
      <c r="AE32" s="1152"/>
      <c r="AF32" s="1152"/>
    </row>
    <row r="33" spans="1:32" ht="25.5">
      <c r="A33" s="1153"/>
      <c r="B33" s="634"/>
      <c r="C33" s="1149" t="s">
        <v>2349</v>
      </c>
      <c r="D33" s="634"/>
      <c r="E33" s="634"/>
      <c r="F33" s="634"/>
      <c r="G33" s="1148"/>
      <c r="H33" s="1148"/>
      <c r="I33" s="1148"/>
      <c r="J33" s="1148"/>
      <c r="K33" s="1148"/>
      <c r="L33" s="1148"/>
      <c r="M33" s="1148"/>
      <c r="N33" s="1148"/>
      <c r="O33" s="1148"/>
      <c r="P33" s="1146"/>
      <c r="Q33" s="1146"/>
      <c r="R33" s="1150"/>
      <c r="S33" s="1151"/>
      <c r="T33" s="1156"/>
      <c r="U33" s="1156"/>
      <c r="V33" s="1162"/>
      <c r="W33" s="1150"/>
      <c r="X33" s="1152"/>
      <c r="Y33" s="1152"/>
      <c r="Z33" s="1152"/>
      <c r="AA33" s="1152"/>
      <c r="AB33" s="1152"/>
      <c r="AC33" s="1152"/>
      <c r="AD33" s="1152"/>
      <c r="AE33" s="1152"/>
      <c r="AF33" s="1152"/>
    </row>
    <row r="34" spans="1:32" ht="38.25">
      <c r="A34" s="1153">
        <v>1</v>
      </c>
      <c r="B34" s="1154"/>
      <c r="C34" s="1155" t="s">
        <v>2350</v>
      </c>
      <c r="D34" s="1154">
        <v>429</v>
      </c>
      <c r="E34" s="1165">
        <v>24</v>
      </c>
      <c r="F34" s="1154">
        <v>104.61</v>
      </c>
      <c r="G34" s="1148">
        <v>0</v>
      </c>
      <c r="H34" s="1148">
        <v>0</v>
      </c>
      <c r="I34" s="1249">
        <f>F34+G34-H34</f>
        <v>104.61</v>
      </c>
      <c r="J34" s="1154">
        <v>23.05</v>
      </c>
      <c r="K34" s="1251">
        <f>SUM(I34:J34)</f>
        <v>127.66</v>
      </c>
      <c r="L34" s="1249">
        <f>I34+J34-K34</f>
        <v>0</v>
      </c>
      <c r="M34" s="1148"/>
      <c r="N34" s="1148"/>
      <c r="O34" s="1176" t="s">
        <v>2351</v>
      </c>
      <c r="P34" s="1146"/>
      <c r="R34" s="1231">
        <f>SUM(F34:J34)</f>
        <v>232.27</v>
      </c>
      <c r="S34" s="1151"/>
      <c r="T34" s="1156"/>
      <c r="U34" s="1156"/>
      <c r="V34" s="1162"/>
      <c r="W34" s="1150"/>
      <c r="X34" s="1152"/>
      <c r="Y34" s="1152"/>
      <c r="Z34" s="1152"/>
      <c r="AA34" s="1152"/>
      <c r="AB34" s="1152"/>
      <c r="AC34" s="1152"/>
      <c r="AD34" s="1152"/>
      <c r="AE34" s="1152"/>
      <c r="AF34" s="1152"/>
    </row>
    <row r="35" spans="1:32" ht="51">
      <c r="A35" s="1153">
        <v>2</v>
      </c>
      <c r="B35" s="1154"/>
      <c r="C35" s="1155" t="s">
        <v>2352</v>
      </c>
      <c r="D35" s="1154">
        <v>71</v>
      </c>
      <c r="E35" s="1165">
        <v>4</v>
      </c>
      <c r="F35" s="1154">
        <v>0.06</v>
      </c>
      <c r="G35" s="1154">
        <v>14.98</v>
      </c>
      <c r="H35" s="1154">
        <v>0</v>
      </c>
      <c r="I35" s="1249">
        <f>F35+G35-H35</f>
        <v>15.040000000000001</v>
      </c>
      <c r="J35" s="1154">
        <v>4.2</v>
      </c>
      <c r="K35" s="1251">
        <f>SUM(I35:J35)</f>
        <v>19.240000000000002</v>
      </c>
      <c r="L35" s="1249">
        <f>I35+J35-K35</f>
        <v>0</v>
      </c>
      <c r="M35" s="1148"/>
      <c r="N35" s="1148"/>
      <c r="O35" s="1148"/>
      <c r="P35" s="1146"/>
      <c r="Q35" s="1146"/>
      <c r="R35" s="1150">
        <f>SUM(F35:J35)</f>
        <v>34.28</v>
      </c>
      <c r="S35" s="1151"/>
      <c r="T35" s="1156"/>
      <c r="U35" s="1156"/>
      <c r="V35" s="1162"/>
      <c r="W35" s="1150"/>
      <c r="X35" s="1152"/>
      <c r="Y35" s="1152"/>
      <c r="Z35" s="1152"/>
      <c r="AA35" s="1152"/>
      <c r="AB35" s="1152"/>
      <c r="AC35" s="1152"/>
      <c r="AD35" s="1152"/>
      <c r="AE35" s="1152"/>
      <c r="AF35" s="1152"/>
    </row>
    <row r="36" spans="1:32" ht="15.75">
      <c r="A36" s="1153"/>
      <c r="B36" s="634"/>
      <c r="C36" s="1149" t="s">
        <v>2335</v>
      </c>
      <c r="D36" s="1154">
        <f>SUM(D34:D35)</f>
        <v>500</v>
      </c>
      <c r="E36" s="1166">
        <f>SUM(E34:E35)</f>
        <v>28</v>
      </c>
      <c r="F36" s="1163">
        <f>SUM(F34:F35)</f>
        <v>104.67</v>
      </c>
      <c r="G36" s="1163">
        <f>SUM(G34:G35)</f>
        <v>14.98</v>
      </c>
      <c r="H36" s="1163">
        <f t="shared" ref="H36:M36" si="3">SUM(H34:H35)</f>
        <v>0</v>
      </c>
      <c r="I36" s="1163">
        <f t="shared" si="3"/>
        <v>119.65</v>
      </c>
      <c r="J36" s="1163">
        <f t="shared" si="3"/>
        <v>27.25</v>
      </c>
      <c r="K36" s="1163">
        <f t="shared" si="3"/>
        <v>146.9</v>
      </c>
      <c r="L36" s="1163">
        <f t="shared" si="3"/>
        <v>0</v>
      </c>
      <c r="M36" s="1163">
        <f t="shared" si="3"/>
        <v>0</v>
      </c>
      <c r="N36" s="1148"/>
      <c r="O36" s="1148"/>
      <c r="P36" s="1146"/>
      <c r="Q36" s="1233">
        <f>Q31</f>
        <v>3875.19</v>
      </c>
      <c r="R36" s="1234">
        <f>SUM(R31:R35)</f>
        <v>11418.050000000001</v>
      </c>
      <c r="S36" s="1151"/>
      <c r="T36" s="1156"/>
      <c r="U36" s="1156"/>
      <c r="V36" s="1162"/>
      <c r="W36" s="1150"/>
      <c r="X36" s="1152"/>
      <c r="Y36" s="1152"/>
      <c r="Z36" s="1152"/>
      <c r="AA36" s="1152"/>
      <c r="AB36" s="1152"/>
      <c r="AC36" s="1152"/>
      <c r="AD36" s="1152"/>
      <c r="AE36" s="1152"/>
      <c r="AF36" s="1152"/>
    </row>
    <row r="37" spans="1:32">
      <c r="A37" s="1153"/>
      <c r="B37" s="634"/>
      <c r="C37" s="634"/>
      <c r="D37" s="1154"/>
      <c r="E37" s="636"/>
      <c r="F37" s="1154"/>
      <c r="G37" s="1148"/>
      <c r="H37" s="1148"/>
      <c r="I37" s="1148"/>
      <c r="J37" s="1148"/>
      <c r="K37" s="1148"/>
      <c r="L37" s="1148"/>
      <c r="M37" s="1148"/>
      <c r="N37" s="1148"/>
      <c r="O37" s="1148"/>
      <c r="P37" s="1146"/>
      <c r="Q37" s="1235" t="s">
        <v>425</v>
      </c>
      <c r="R37" s="1236" t="s">
        <v>1751</v>
      </c>
      <c r="S37" s="1151"/>
      <c r="T37" s="1156"/>
      <c r="U37" s="1156"/>
      <c r="V37" s="1162"/>
      <c r="W37" s="1150"/>
      <c r="X37" s="1152"/>
      <c r="Y37" s="1152"/>
      <c r="Z37" s="1152"/>
      <c r="AA37" s="1152"/>
      <c r="AB37" s="1152"/>
      <c r="AC37" s="1152"/>
      <c r="AD37" s="1152"/>
      <c r="AE37" s="1152"/>
      <c r="AF37" s="1152"/>
    </row>
    <row r="38" spans="1:32">
      <c r="A38" s="1153"/>
      <c r="B38" s="634"/>
      <c r="C38" s="634"/>
      <c r="D38" s="1154"/>
      <c r="E38" s="636"/>
      <c r="F38" s="1154"/>
      <c r="G38" s="1148"/>
      <c r="H38" s="1148"/>
      <c r="I38" s="1148"/>
      <c r="J38" s="1148"/>
      <c r="K38" s="1148"/>
      <c r="L38" s="1148"/>
      <c r="M38" s="1148"/>
      <c r="N38" s="1148"/>
      <c r="O38" s="1148"/>
      <c r="P38" s="1146"/>
      <c r="Q38" s="1146"/>
      <c r="R38" s="1150"/>
      <c r="S38" s="1151"/>
      <c r="T38" s="1156"/>
      <c r="U38" s="1156"/>
      <c r="V38" s="1162"/>
      <c r="W38" s="1150"/>
      <c r="X38" s="1152"/>
      <c r="Y38" s="1152"/>
      <c r="Z38" s="1152"/>
      <c r="AA38" s="1152"/>
      <c r="AB38" s="1152"/>
      <c r="AC38" s="1152"/>
      <c r="AD38" s="1152"/>
      <c r="AE38" s="1152"/>
      <c r="AF38" s="1152"/>
    </row>
    <row r="39" spans="1:32" ht="25.5" hidden="1">
      <c r="A39" s="1153"/>
      <c r="B39" s="634"/>
      <c r="C39" s="634" t="s">
        <v>2353</v>
      </c>
      <c r="D39" s="1154"/>
      <c r="E39" s="636"/>
      <c r="F39" s="1154"/>
      <c r="G39" s="1160"/>
      <c r="H39" s="1160"/>
      <c r="I39" s="1160"/>
      <c r="J39" s="1148"/>
      <c r="K39" s="1148"/>
      <c r="L39" s="1148"/>
      <c r="M39" s="1148"/>
      <c r="N39" s="1148"/>
      <c r="O39" s="1148"/>
      <c r="P39" s="1146"/>
      <c r="Q39" s="1146"/>
      <c r="R39" s="1150">
        <f>Data_TL!J10</f>
        <v>684.22</v>
      </c>
      <c r="S39" s="1151"/>
      <c r="T39" s="1156"/>
      <c r="U39" s="1156"/>
      <c r="V39" s="1162"/>
      <c r="W39" s="1150"/>
      <c r="X39" s="1152"/>
      <c r="Y39" s="1152"/>
      <c r="Z39" s="1152"/>
      <c r="AA39" s="1152"/>
      <c r="AB39" s="1152"/>
      <c r="AC39" s="1152"/>
      <c r="AD39" s="1152"/>
      <c r="AE39" s="1152"/>
      <c r="AF39" s="1152"/>
    </row>
    <row r="40" spans="1:32" ht="25.5" hidden="1">
      <c r="A40" s="1153"/>
      <c r="B40" s="634"/>
      <c r="C40" s="1155" t="s">
        <v>2354</v>
      </c>
      <c r="D40" s="1154"/>
      <c r="E40" s="1153">
        <v>2.2970000000000002</v>
      </c>
      <c r="F40" s="1154"/>
      <c r="G40" s="1160"/>
      <c r="H40" s="1160"/>
      <c r="I40" s="1160"/>
      <c r="J40" s="1148"/>
      <c r="K40" s="1148"/>
      <c r="L40" s="1148"/>
      <c r="M40" s="1148"/>
      <c r="N40" s="1148"/>
      <c r="O40" s="1148"/>
      <c r="P40" s="1146"/>
      <c r="Q40" s="1146"/>
      <c r="R40" s="1232">
        <f>R36+R39</f>
        <v>12102.27</v>
      </c>
      <c r="S40" s="1151"/>
      <c r="T40" s="1156"/>
      <c r="U40" s="1156"/>
      <c r="V40" s="1162"/>
      <c r="W40" s="1150"/>
      <c r="X40" s="1152"/>
      <c r="Y40" s="1152"/>
      <c r="Z40" s="1152"/>
      <c r="AA40" s="1152"/>
      <c r="AB40" s="1152"/>
      <c r="AC40" s="1152"/>
      <c r="AD40" s="1152"/>
      <c r="AE40" s="1152"/>
      <c r="AF40" s="1152"/>
    </row>
    <row r="41" spans="1:32" ht="76.5" hidden="1">
      <c r="A41" s="1153"/>
      <c r="B41" s="634"/>
      <c r="C41" s="1155" t="s">
        <v>2355</v>
      </c>
      <c r="D41" s="1154"/>
      <c r="E41" s="1153">
        <v>7.0000000000000007E-2</v>
      </c>
      <c r="F41" s="1154"/>
      <c r="G41" s="1160"/>
      <c r="H41" s="1160"/>
      <c r="I41" s="1160"/>
      <c r="J41" s="1148"/>
      <c r="K41" s="1148"/>
      <c r="L41" s="1148"/>
      <c r="M41" s="1148"/>
      <c r="N41" s="1148"/>
      <c r="O41" s="1148"/>
      <c r="P41" s="1146"/>
      <c r="Q41" s="1146"/>
      <c r="R41" s="1150"/>
      <c r="S41" s="1151"/>
      <c r="T41" s="1156"/>
      <c r="U41" s="1156"/>
      <c r="V41" s="1162"/>
      <c r="W41" s="1150"/>
      <c r="X41" s="1152"/>
      <c r="Y41" s="1152"/>
      <c r="Z41" s="1152"/>
      <c r="AA41" s="1152"/>
      <c r="AB41" s="1152"/>
      <c r="AC41" s="1152"/>
      <c r="AD41" s="1152"/>
      <c r="AE41" s="1152"/>
      <c r="AF41" s="1152"/>
    </row>
    <row r="42" spans="1:32" ht="51" hidden="1">
      <c r="A42" s="1153"/>
      <c r="B42" s="634"/>
      <c r="C42" s="1155" t="s">
        <v>2356</v>
      </c>
      <c r="D42" s="1154">
        <v>12.34</v>
      </c>
      <c r="E42" s="1153">
        <v>0.6</v>
      </c>
      <c r="F42" s="1154"/>
      <c r="G42" s="1160">
        <v>5.61</v>
      </c>
      <c r="H42" s="1160"/>
      <c r="I42" s="1160"/>
      <c r="J42" s="1148"/>
      <c r="K42" s="1148"/>
      <c r="L42" s="1148"/>
      <c r="M42" s="1148"/>
      <c r="N42" s="1148"/>
      <c r="O42" s="1148"/>
      <c r="P42" s="1146"/>
      <c r="Q42" s="1146"/>
      <c r="R42" s="1150"/>
      <c r="S42" s="1151"/>
      <c r="T42" s="1156"/>
      <c r="U42" s="1156"/>
      <c r="V42" s="1162"/>
      <c r="W42" s="1150"/>
      <c r="X42" s="1152"/>
      <c r="Y42" s="1152"/>
      <c r="Z42" s="1152"/>
      <c r="AA42" s="1152"/>
      <c r="AB42" s="1152"/>
      <c r="AC42" s="1152"/>
      <c r="AD42" s="1152"/>
      <c r="AE42" s="1152"/>
      <c r="AF42" s="1152"/>
    </row>
    <row r="43" spans="1:32" ht="15.75" hidden="1">
      <c r="A43" s="1153"/>
      <c r="B43" s="634"/>
      <c r="C43" s="634" t="s">
        <v>2335</v>
      </c>
      <c r="D43" s="1154"/>
      <c r="E43" s="1167">
        <f>SUM(E40:E42)</f>
        <v>2.9670000000000001</v>
      </c>
      <c r="F43" s="1154"/>
      <c r="G43" s="1163">
        <f>SUM(G39:G42)</f>
        <v>5.61</v>
      </c>
      <c r="H43" s="1163"/>
      <c r="I43" s="1163"/>
      <c r="J43" s="1148"/>
      <c r="K43" s="1148"/>
      <c r="L43" s="1148"/>
      <c r="M43" s="1148"/>
      <c r="N43" s="1148"/>
      <c r="O43" s="1148"/>
      <c r="P43" s="1146"/>
      <c r="Q43" s="1146"/>
      <c r="R43" s="1150"/>
      <c r="S43" s="1151"/>
      <c r="T43" s="1156"/>
      <c r="U43" s="1156"/>
      <c r="V43" s="1162"/>
      <c r="W43" s="1150"/>
      <c r="X43" s="1152"/>
      <c r="Y43" s="1152"/>
      <c r="Z43" s="1152"/>
      <c r="AA43" s="1152"/>
      <c r="AB43" s="1152"/>
      <c r="AC43" s="1152"/>
      <c r="AD43" s="1152"/>
      <c r="AE43" s="1152"/>
      <c r="AF43" s="1152"/>
    </row>
    <row r="44" spans="1:32">
      <c r="A44" s="1153"/>
      <c r="B44" s="634"/>
      <c r="C44" s="1149"/>
      <c r="D44" s="1154"/>
      <c r="E44" s="636"/>
      <c r="F44" s="1154"/>
      <c r="G44" s="1148"/>
      <c r="H44" s="1148"/>
      <c r="I44" s="1148"/>
      <c r="J44" s="1148"/>
      <c r="K44" s="1148"/>
      <c r="L44" s="1148"/>
      <c r="M44" s="1148"/>
      <c r="N44" s="1148"/>
      <c r="O44" s="1148"/>
      <c r="P44" s="1146"/>
      <c r="Q44" s="1146"/>
      <c r="R44" s="1150"/>
      <c r="S44" s="1151"/>
      <c r="T44" s="1156"/>
      <c r="U44" s="1156"/>
      <c r="V44" s="1162"/>
      <c r="W44" s="1150"/>
      <c r="X44" s="1152"/>
      <c r="Y44" s="1152"/>
      <c r="Z44" s="1152"/>
      <c r="AA44" s="1152"/>
      <c r="AB44" s="1152"/>
      <c r="AC44" s="1152"/>
      <c r="AD44" s="1152"/>
      <c r="AE44" s="1152"/>
      <c r="AF44" s="1152"/>
    </row>
    <row r="45" spans="1:32">
      <c r="A45" s="1153"/>
      <c r="B45" s="634"/>
      <c r="C45" s="1149"/>
      <c r="D45" s="1154"/>
      <c r="E45" s="636"/>
      <c r="F45" s="1154"/>
      <c r="G45" s="1148"/>
      <c r="H45" s="1148"/>
      <c r="I45" s="1148"/>
      <c r="J45" s="1148"/>
      <c r="K45" s="1148"/>
      <c r="L45" s="1148"/>
      <c r="M45" s="1148"/>
      <c r="N45" s="1148"/>
      <c r="O45" s="1148"/>
      <c r="P45" s="1146"/>
      <c r="Q45" s="1146"/>
      <c r="R45" s="1150"/>
      <c r="S45" s="1151"/>
      <c r="T45" s="1156"/>
      <c r="U45" s="1156"/>
      <c r="V45" s="1162"/>
      <c r="W45" s="1150"/>
      <c r="X45" s="1152"/>
      <c r="Y45" s="1152"/>
      <c r="Z45" s="1152"/>
      <c r="AA45" s="1152"/>
      <c r="AB45" s="1152"/>
      <c r="AC45" s="1152"/>
      <c r="AD45" s="1152"/>
      <c r="AE45" s="1152"/>
      <c r="AF45" s="1152"/>
    </row>
    <row r="46" spans="1:32">
      <c r="A46" s="1153"/>
      <c r="B46" s="634"/>
      <c r="C46" s="1149"/>
      <c r="D46" s="1154"/>
      <c r="E46" s="636"/>
      <c r="F46" s="1154"/>
      <c r="G46" s="1148"/>
      <c r="H46" s="1148"/>
      <c r="I46" s="1148"/>
      <c r="J46" s="1148"/>
      <c r="K46" s="1148"/>
      <c r="L46" s="1148"/>
      <c r="M46" s="1148"/>
      <c r="N46" s="1148"/>
      <c r="O46" s="1148"/>
      <c r="P46" s="1146"/>
      <c r="Q46" s="1146"/>
      <c r="R46" s="1150"/>
      <c r="S46" s="1151"/>
      <c r="T46" s="1156"/>
      <c r="U46" s="1156"/>
      <c r="V46" s="1162"/>
      <c r="W46" s="1150"/>
      <c r="X46" s="1152"/>
      <c r="Y46" s="1152"/>
      <c r="Z46" s="1152"/>
      <c r="AA46" s="1152"/>
      <c r="AB46" s="1152"/>
      <c r="AC46" s="1152"/>
      <c r="AD46" s="1152"/>
      <c r="AE46" s="1152"/>
      <c r="AF46" s="1152"/>
    </row>
    <row r="47" spans="1:32">
      <c r="A47" s="1153"/>
      <c r="B47" s="634"/>
      <c r="C47" s="1149"/>
      <c r="D47" s="1154"/>
      <c r="E47" s="1154"/>
      <c r="F47" s="1154"/>
      <c r="G47" s="1148"/>
      <c r="H47" s="1148"/>
      <c r="I47" s="1148"/>
      <c r="J47" s="1148"/>
      <c r="K47" s="1148"/>
      <c r="L47" s="1148"/>
      <c r="M47" s="1148"/>
      <c r="N47" s="1148"/>
      <c r="O47" s="1148"/>
      <c r="P47" s="1146"/>
      <c r="Q47" s="1146"/>
      <c r="R47" s="1150"/>
      <c r="S47" s="1151"/>
      <c r="T47" s="1156"/>
      <c r="U47" s="1156"/>
      <c r="V47" s="1162"/>
      <c r="W47" s="1152"/>
      <c r="X47" s="1152"/>
      <c r="Y47" s="1152"/>
      <c r="Z47" s="1152"/>
      <c r="AA47" s="1152"/>
      <c r="AB47" s="1152"/>
      <c r="AC47" s="1152"/>
      <c r="AD47" s="1152"/>
      <c r="AE47" s="1152"/>
      <c r="AF47" s="1152"/>
    </row>
    <row r="48" spans="1:32">
      <c r="A48" s="1153"/>
      <c r="B48" s="1154"/>
      <c r="C48" s="1155"/>
      <c r="D48" s="1154"/>
      <c r="E48" s="1154"/>
      <c r="F48" s="1154"/>
      <c r="G48" s="1148"/>
      <c r="H48" s="1148"/>
      <c r="I48" s="1148"/>
      <c r="J48" s="1148"/>
      <c r="K48" s="1148"/>
      <c r="L48" s="1148"/>
      <c r="M48" s="1148"/>
      <c r="N48" s="1148"/>
      <c r="O48" s="1148"/>
      <c r="P48" s="1146"/>
      <c r="Q48" s="1146"/>
      <c r="R48" s="1150"/>
      <c r="S48" s="1156"/>
      <c r="T48" s="1156"/>
      <c r="U48" s="1156"/>
      <c r="V48" s="1162"/>
      <c r="W48" s="1152"/>
      <c r="X48" s="1152"/>
      <c r="Y48" s="1152"/>
      <c r="Z48" s="1152"/>
      <c r="AA48" s="1152"/>
      <c r="AB48" s="1152"/>
      <c r="AC48" s="1152"/>
      <c r="AD48" s="1152"/>
      <c r="AE48" s="1152"/>
      <c r="AF48" s="1152"/>
    </row>
    <row r="49" spans="1:32">
      <c r="A49" s="1146"/>
      <c r="B49" s="1146"/>
      <c r="C49" s="1146"/>
      <c r="D49" s="1146"/>
      <c r="E49" s="1146"/>
      <c r="F49" s="1146"/>
      <c r="G49" s="1146"/>
      <c r="H49" s="1198"/>
      <c r="I49" s="1198"/>
      <c r="J49" s="1146"/>
      <c r="K49" s="1198"/>
      <c r="L49" s="1198"/>
      <c r="M49" s="1146"/>
      <c r="N49" s="1146"/>
      <c r="O49" s="1146"/>
      <c r="P49" s="1146"/>
      <c r="Q49" s="1146"/>
      <c r="R49" s="1168"/>
      <c r="S49" s="1168"/>
      <c r="T49" s="1168"/>
      <c r="U49" s="1152"/>
      <c r="V49" s="1152"/>
      <c r="W49" s="1152"/>
      <c r="X49" s="1152"/>
      <c r="Y49" s="1152"/>
      <c r="Z49" s="1152"/>
      <c r="AA49" s="1152"/>
      <c r="AB49" s="1152"/>
      <c r="AC49" s="1152"/>
      <c r="AD49" s="1152"/>
      <c r="AE49" s="1152"/>
      <c r="AF49" s="1152"/>
    </row>
    <row r="50" spans="1:32">
      <c r="A50" s="1146"/>
      <c r="B50" s="1146"/>
      <c r="C50" s="1146"/>
      <c r="D50" s="1146"/>
      <c r="E50" s="1146"/>
      <c r="F50" s="1146"/>
      <c r="G50" s="1146"/>
      <c r="H50" s="1198"/>
      <c r="I50" s="1198"/>
      <c r="J50" s="1146"/>
      <c r="K50" s="1198"/>
      <c r="L50" s="1198"/>
      <c r="M50" s="1146"/>
      <c r="N50" s="1146"/>
      <c r="O50" s="1146"/>
      <c r="P50" s="1146"/>
      <c r="Q50" s="1146"/>
      <c r="R50" s="1151"/>
      <c r="S50" s="1151"/>
      <c r="T50" s="1156"/>
      <c r="U50" s="1156"/>
      <c r="V50" s="1156"/>
      <c r="W50" s="1156"/>
      <c r="X50" s="1156"/>
      <c r="Y50" s="1156"/>
      <c r="Z50" s="1156"/>
      <c r="AA50" s="1156"/>
      <c r="AB50" s="1156"/>
      <c r="AC50" s="1156"/>
      <c r="AD50" s="1156"/>
      <c r="AE50" s="1156"/>
      <c r="AF50" s="1156"/>
    </row>
    <row r="51" spans="1:32" ht="16.5" customHeight="1">
      <c r="A51" s="1146"/>
      <c r="B51" s="1146"/>
      <c r="C51" s="2661" t="s">
        <v>2357</v>
      </c>
      <c r="D51" s="2661"/>
      <c r="E51" s="2661"/>
      <c r="F51" s="2661"/>
      <c r="G51" s="1146">
        <f>G21+G36</f>
        <v>3533.1499999999992</v>
      </c>
      <c r="H51" s="1198"/>
      <c r="I51" s="1198">
        <f>SUM(G51:G52)</f>
        <v>4102.5999999999995</v>
      </c>
      <c r="J51" s="1146">
        <v>569.45000000000005</v>
      </c>
      <c r="K51" s="1198"/>
      <c r="L51" s="1198"/>
      <c r="M51" s="1146"/>
      <c r="N51" s="1146"/>
      <c r="O51" s="1146"/>
      <c r="P51" s="1146"/>
      <c r="Q51" s="1146"/>
      <c r="R51" s="1156"/>
      <c r="S51" s="1156"/>
      <c r="T51" s="1156"/>
      <c r="U51" s="1156"/>
      <c r="V51" s="1156"/>
      <c r="W51" s="1156"/>
      <c r="X51" s="1156"/>
      <c r="Y51" s="1156"/>
      <c r="Z51" s="1156"/>
      <c r="AA51" s="1156"/>
      <c r="AB51" s="1156"/>
      <c r="AC51" s="1156"/>
      <c r="AD51" s="1156"/>
      <c r="AE51" s="1156"/>
      <c r="AF51" s="1156"/>
    </row>
    <row r="52" spans="1:32">
      <c r="A52" s="1146"/>
      <c r="B52" s="1146"/>
      <c r="C52" s="1132" t="s">
        <v>91</v>
      </c>
      <c r="D52" s="1132"/>
      <c r="E52" s="1132"/>
      <c r="F52" s="1132"/>
      <c r="G52" s="1146">
        <v>569.45000000000005</v>
      </c>
      <c r="H52" s="1198"/>
      <c r="I52" s="1198"/>
      <c r="J52" s="1146">
        <f>I21+I36</f>
        <v>5525.8499999999995</v>
      </c>
      <c r="K52" s="1198">
        <f>J21+J36</f>
        <v>748.53</v>
      </c>
      <c r="L52" s="1198">
        <f>K21+K36</f>
        <v>6083.29</v>
      </c>
      <c r="M52" s="1146">
        <v>16850</v>
      </c>
      <c r="N52" s="1146"/>
      <c r="O52" s="1146"/>
      <c r="P52" s="1146"/>
      <c r="Q52" s="1146"/>
      <c r="R52" s="1156"/>
      <c r="S52" s="1156"/>
      <c r="T52" s="1156"/>
      <c r="U52" s="1156"/>
      <c r="V52" s="1156"/>
      <c r="W52" s="1156"/>
      <c r="X52" s="1156"/>
      <c r="Y52" s="1156"/>
      <c r="Z52" s="1156"/>
      <c r="AA52" s="1156"/>
      <c r="AB52" s="1156"/>
      <c r="AC52" s="1156"/>
      <c r="AD52" s="1156"/>
      <c r="AE52" s="1156"/>
      <c r="AF52" s="1156"/>
    </row>
    <row r="53" spans="1:32">
      <c r="A53" s="1146"/>
      <c r="B53" s="1146"/>
      <c r="C53" s="1172" t="s">
        <v>331</v>
      </c>
      <c r="D53" s="1173" t="s">
        <v>425</v>
      </c>
      <c r="E53" s="1173" t="s">
        <v>1751</v>
      </c>
      <c r="F53" s="1173" t="s">
        <v>1752</v>
      </c>
      <c r="G53" s="1146"/>
      <c r="H53" s="1198"/>
      <c r="J53" s="1146">
        <f>J51+J52</f>
        <v>6095.2999999999993</v>
      </c>
      <c r="K53" s="1198">
        <v>14519.52</v>
      </c>
      <c r="L53" s="1198">
        <v>2787.5</v>
      </c>
      <c r="M53" s="1146"/>
      <c r="N53" s="1146"/>
      <c r="O53" s="1146"/>
      <c r="P53" s="1146"/>
      <c r="Q53" s="1146"/>
      <c r="R53" s="1156"/>
      <c r="S53" s="1156"/>
      <c r="T53" s="1156"/>
      <c r="U53" s="1156"/>
      <c r="V53" s="1156"/>
      <c r="W53" s="1156"/>
      <c r="X53" s="1156"/>
      <c r="Y53" s="1156"/>
      <c r="Z53" s="1156"/>
      <c r="AA53" s="1156"/>
      <c r="AB53" s="1156"/>
      <c r="AC53" s="1156"/>
      <c r="AD53" s="1156"/>
      <c r="AE53" s="1156"/>
      <c r="AF53" s="1156"/>
    </row>
    <row r="54" spans="1:32">
      <c r="A54" s="1146"/>
      <c r="B54" s="1146"/>
      <c r="C54" s="1171" t="s">
        <v>1363</v>
      </c>
      <c r="D54" s="1174">
        <f>(G21+G31)</f>
        <v>3824.9499999999989</v>
      </c>
      <c r="E54" s="1174">
        <f>(J21+J31)</f>
        <v>733.36</v>
      </c>
      <c r="F54" s="1174">
        <f>(M21+M31)/10^2</f>
        <v>0</v>
      </c>
      <c r="G54" s="1146"/>
      <c r="H54" s="1198"/>
      <c r="J54" s="1146"/>
      <c r="K54" s="1198">
        <f>SUM(K52:K53)</f>
        <v>15268.050000000001</v>
      </c>
      <c r="L54" s="1198">
        <f>SUM(L52:L53)</f>
        <v>8870.7900000000009</v>
      </c>
      <c r="M54" s="1146"/>
      <c r="N54" s="1146"/>
      <c r="O54" s="1146"/>
      <c r="P54" s="1146"/>
      <c r="Q54" s="1146"/>
      <c r="R54" s="1156"/>
      <c r="S54" s="1156"/>
      <c r="T54" s="1156"/>
      <c r="U54" s="1156"/>
      <c r="V54" s="1156"/>
      <c r="W54" s="1156"/>
      <c r="X54" s="1156"/>
      <c r="Y54" s="1156"/>
      <c r="Z54" s="1156"/>
      <c r="AA54" s="1156"/>
      <c r="AB54" s="1156"/>
      <c r="AC54" s="1156"/>
      <c r="AD54" s="1156"/>
      <c r="AE54" s="1156"/>
      <c r="AF54" s="1156"/>
    </row>
    <row r="55" spans="1:32">
      <c r="A55" s="1146"/>
      <c r="B55" s="1146"/>
      <c r="C55" s="1171" t="s">
        <v>1364</v>
      </c>
      <c r="D55" s="1175">
        <f>G36</f>
        <v>14.98</v>
      </c>
      <c r="E55" s="1175">
        <f>J36+J43</f>
        <v>27.25</v>
      </c>
      <c r="F55" s="1175">
        <f>M36+M43</f>
        <v>0</v>
      </c>
      <c r="G55" s="1146"/>
      <c r="H55" s="1198"/>
      <c r="I55" s="1198"/>
      <c r="J55" s="1146"/>
      <c r="K55" s="1198"/>
      <c r="L55" s="1198"/>
      <c r="M55" s="1146"/>
      <c r="N55" s="1146"/>
      <c r="O55" s="1146"/>
      <c r="P55" s="1146"/>
      <c r="Q55" s="1146"/>
      <c r="R55" s="1156"/>
      <c r="S55" s="1156"/>
      <c r="T55" s="1156"/>
      <c r="U55" s="1156"/>
      <c r="V55" s="1156"/>
      <c r="W55" s="1156"/>
      <c r="X55" s="1156"/>
      <c r="Y55" s="1156"/>
      <c r="Z55" s="1156"/>
      <c r="AA55" s="1156"/>
      <c r="AB55" s="1156"/>
      <c r="AC55" s="1156"/>
      <c r="AD55" s="1156"/>
      <c r="AE55" s="1156"/>
      <c r="AF55" s="1156"/>
    </row>
    <row r="56" spans="1:32">
      <c r="A56" s="1146"/>
      <c r="B56" s="1146"/>
      <c r="C56" s="1132"/>
      <c r="D56" s="1132"/>
      <c r="E56" s="1132"/>
      <c r="F56" s="1132"/>
      <c r="G56" s="1146"/>
      <c r="H56" s="1198"/>
      <c r="I56" s="1198"/>
      <c r="J56" s="1146"/>
      <c r="K56" s="1198"/>
      <c r="L56" s="1198"/>
      <c r="M56" s="1146"/>
      <c r="N56" s="1146"/>
      <c r="O56" s="1146"/>
      <c r="P56" s="1146"/>
      <c r="Q56" s="1146"/>
      <c r="R56" s="1156"/>
      <c r="S56" s="1156"/>
      <c r="T56" s="1156"/>
      <c r="U56" s="1156"/>
      <c r="V56" s="1156"/>
      <c r="W56" s="1156"/>
      <c r="X56" s="1156"/>
      <c r="Y56" s="1156"/>
      <c r="Z56" s="1156"/>
      <c r="AA56" s="1156"/>
      <c r="AB56" s="1156"/>
      <c r="AC56" s="1156"/>
      <c r="AD56" s="1156"/>
      <c r="AE56" s="1156"/>
      <c r="AF56" s="1156"/>
    </row>
    <row r="57" spans="1:32">
      <c r="A57" s="1146"/>
      <c r="B57" s="1146"/>
      <c r="C57" s="1132"/>
      <c r="D57" s="1132"/>
      <c r="E57" s="1132"/>
      <c r="F57" s="1132"/>
      <c r="G57" s="1146"/>
      <c r="H57" s="1198"/>
      <c r="I57" s="1198"/>
      <c r="J57" s="1146"/>
      <c r="K57" s="1198"/>
      <c r="L57" s="1198"/>
      <c r="M57" s="1146"/>
      <c r="N57" s="1146"/>
      <c r="O57" s="1146"/>
      <c r="P57" s="1146"/>
      <c r="Q57" s="1146"/>
      <c r="R57" s="1156"/>
      <c r="S57" s="1156"/>
      <c r="T57" s="1156"/>
      <c r="U57" s="1156"/>
      <c r="V57" s="1156"/>
      <c r="W57" s="1156"/>
      <c r="X57" s="1156"/>
      <c r="Y57" s="1156"/>
      <c r="Z57" s="1156"/>
      <c r="AA57" s="1156"/>
      <c r="AB57" s="1156"/>
      <c r="AC57" s="1156"/>
      <c r="AD57" s="1156"/>
      <c r="AE57" s="1156"/>
      <c r="AF57" s="1156"/>
    </row>
    <row r="58" spans="1:32">
      <c r="A58" s="1146"/>
      <c r="B58" s="1146"/>
      <c r="C58" s="1132" t="s">
        <v>1750</v>
      </c>
      <c r="D58" s="1132"/>
      <c r="E58" s="1132"/>
      <c r="F58" s="1132"/>
      <c r="G58" s="1146"/>
      <c r="H58" s="1198"/>
      <c r="I58" s="1198"/>
      <c r="J58" s="1146"/>
      <c r="K58" s="1198"/>
      <c r="L58" s="1198"/>
      <c r="M58" s="1146"/>
      <c r="N58" s="1146"/>
      <c r="O58" s="1146"/>
      <c r="P58" s="1146"/>
      <c r="Q58" s="1146"/>
      <c r="R58" s="1156"/>
      <c r="S58" s="1156"/>
      <c r="T58" s="1156"/>
      <c r="U58" s="1156"/>
      <c r="V58" s="1156"/>
      <c r="W58" s="1156"/>
      <c r="X58" s="1156"/>
      <c r="Y58" s="1156"/>
      <c r="Z58" s="1156"/>
      <c r="AA58" s="1156"/>
      <c r="AB58" s="1156"/>
      <c r="AC58" s="1156"/>
      <c r="AD58" s="1156"/>
      <c r="AE58" s="1156"/>
      <c r="AF58" s="1156"/>
    </row>
    <row r="59" spans="1:32">
      <c r="A59" s="1146"/>
      <c r="B59" s="1146"/>
      <c r="C59" s="1172" t="s">
        <v>331</v>
      </c>
      <c r="D59" s="1172" t="s">
        <v>425</v>
      </c>
      <c r="E59" s="1172" t="s">
        <v>1751</v>
      </c>
      <c r="F59" s="1172" t="s">
        <v>1752</v>
      </c>
      <c r="G59" s="1146"/>
      <c r="H59" s="1198"/>
      <c r="I59" s="1198"/>
      <c r="J59" s="1146"/>
      <c r="K59" s="1198"/>
      <c r="L59" s="1198"/>
      <c r="M59" s="1146"/>
      <c r="N59" s="1146"/>
      <c r="O59" s="1146"/>
      <c r="P59" s="1146"/>
      <c r="Q59" s="1146"/>
      <c r="R59" s="1156"/>
      <c r="S59" s="1156"/>
      <c r="T59" s="1156"/>
      <c r="U59" s="1156"/>
      <c r="V59" s="1156"/>
      <c r="W59" s="1156"/>
      <c r="X59" s="1156"/>
      <c r="Y59" s="1156"/>
      <c r="Z59" s="1156"/>
      <c r="AA59" s="1156"/>
      <c r="AB59" s="1156"/>
      <c r="AC59" s="1156"/>
      <c r="AD59" s="1156"/>
      <c r="AE59" s="1156"/>
      <c r="AF59" s="1156"/>
    </row>
    <row r="60" spans="1:32">
      <c r="A60" s="1146"/>
      <c r="B60" s="1146"/>
      <c r="C60" s="1171" t="s">
        <v>1363</v>
      </c>
      <c r="D60" s="1179">
        <f>SUM(Q4:Q30)</f>
        <v>3875.19</v>
      </c>
      <c r="E60" s="1179">
        <f>SUM(R4:R30)</f>
        <v>11151.5</v>
      </c>
      <c r="F60" s="1180">
        <v>0</v>
      </c>
      <c r="G60" s="1146"/>
      <c r="H60" s="1198"/>
      <c r="I60" s="1198"/>
      <c r="J60" s="1146"/>
      <c r="K60" s="1198"/>
      <c r="L60" s="1198"/>
      <c r="M60" s="1146"/>
      <c r="N60" s="1146"/>
      <c r="O60" s="1146"/>
      <c r="P60" s="1146"/>
      <c r="Q60" s="1146"/>
      <c r="R60" s="1156"/>
      <c r="S60" s="1156"/>
      <c r="T60" s="1156"/>
      <c r="U60" s="1156"/>
      <c r="V60" s="1156"/>
      <c r="W60" s="1156"/>
      <c r="X60" s="1156"/>
      <c r="Y60" s="1156"/>
      <c r="Z60" s="1156"/>
      <c r="AA60" s="1156"/>
      <c r="AB60" s="1156"/>
      <c r="AC60" s="1156"/>
      <c r="AD60" s="1156"/>
      <c r="AE60" s="1156"/>
      <c r="AF60" s="1156"/>
    </row>
    <row r="61" spans="1:32" ht="15.75">
      <c r="A61" s="1146"/>
      <c r="B61" s="1146"/>
      <c r="C61" s="1171" t="s">
        <v>1364</v>
      </c>
      <c r="D61" s="1180">
        <v>0</v>
      </c>
      <c r="E61" s="1179">
        <f>SUM(R34:R42)</f>
        <v>24471.09</v>
      </c>
      <c r="F61" s="1180">
        <v>0</v>
      </c>
      <c r="G61" s="1146"/>
      <c r="H61" s="1198"/>
      <c r="I61" s="1198"/>
      <c r="J61" s="1146"/>
      <c r="K61" s="1198"/>
      <c r="L61" s="1198"/>
      <c r="M61" s="1146"/>
      <c r="N61" s="1146"/>
      <c r="O61" s="1146"/>
      <c r="P61" s="1146"/>
      <c r="Q61" s="1146"/>
      <c r="R61" s="1169"/>
      <c r="S61" s="1169"/>
      <c r="T61" s="1156"/>
      <c r="U61" s="1156"/>
      <c r="V61" s="1156"/>
      <c r="W61" s="1156"/>
      <c r="X61" s="1156"/>
      <c r="Y61" s="1156"/>
      <c r="Z61" s="1156"/>
      <c r="AA61" s="1156"/>
      <c r="AB61" s="1156"/>
      <c r="AC61" s="1156"/>
      <c r="AD61" s="1156"/>
      <c r="AE61" s="1156"/>
      <c r="AF61" s="1156"/>
    </row>
    <row r="62" spans="1:32" ht="15.75">
      <c r="A62" s="1146"/>
      <c r="B62" s="1146"/>
      <c r="C62" s="1132"/>
      <c r="D62" s="1132"/>
      <c r="E62" s="1132"/>
      <c r="F62" s="1132"/>
      <c r="G62" s="1146"/>
      <c r="H62" s="1198"/>
      <c r="I62" s="1198"/>
      <c r="J62" s="1146"/>
      <c r="K62" s="1198"/>
      <c r="L62" s="1198"/>
      <c r="M62" s="1146"/>
      <c r="N62" s="1146"/>
      <c r="O62" s="1146"/>
      <c r="P62" s="1146"/>
      <c r="Q62" s="1146"/>
      <c r="R62" s="1169"/>
      <c r="S62" s="1169"/>
      <c r="T62" s="1156"/>
      <c r="U62" s="1156"/>
      <c r="V62" s="1156"/>
      <c r="W62" s="1156"/>
      <c r="X62" s="1156"/>
      <c r="Y62" s="1156"/>
      <c r="Z62" s="1156"/>
      <c r="AA62" s="1156"/>
      <c r="AB62" s="1156"/>
      <c r="AC62" s="1156"/>
      <c r="AD62" s="1156"/>
      <c r="AE62" s="1156"/>
      <c r="AF62" s="1156"/>
    </row>
    <row r="63" spans="1:32" ht="51">
      <c r="A63" s="1146"/>
      <c r="B63" s="1146"/>
      <c r="C63" s="1132" t="s">
        <v>2358</v>
      </c>
      <c r="D63" s="1138"/>
      <c r="E63" s="1132"/>
      <c r="F63" s="1132"/>
      <c r="G63" s="1146"/>
      <c r="H63" s="1198"/>
      <c r="I63" s="1198"/>
      <c r="J63" s="1146"/>
      <c r="K63" s="1198"/>
      <c r="L63" s="1198"/>
      <c r="M63" s="1146"/>
      <c r="N63" s="1146"/>
      <c r="O63" s="1146"/>
      <c r="P63" s="1146"/>
      <c r="Q63" s="1146"/>
      <c r="R63" s="1156"/>
      <c r="S63" s="1156"/>
      <c r="T63" s="1156"/>
      <c r="U63" s="1156"/>
      <c r="V63" s="1156"/>
      <c r="W63" s="1156"/>
      <c r="X63" s="1156"/>
      <c r="Y63" s="1156"/>
      <c r="Z63" s="1156"/>
      <c r="AA63" s="1156"/>
      <c r="AB63" s="1156"/>
      <c r="AC63" s="1156"/>
      <c r="AD63" s="1156"/>
      <c r="AE63" s="1156"/>
      <c r="AF63" s="1156"/>
    </row>
    <row r="64" spans="1:32" ht="76.5">
      <c r="A64" s="1146"/>
      <c r="B64" s="1146"/>
      <c r="C64" s="1132" t="s">
        <v>2359</v>
      </c>
      <c r="D64" s="1132"/>
      <c r="E64" s="1132"/>
      <c r="F64" s="1132"/>
      <c r="G64" s="1146"/>
      <c r="H64" s="1198"/>
      <c r="I64" s="1198"/>
      <c r="J64" s="1146"/>
      <c r="K64" s="1198"/>
      <c r="L64" s="1198"/>
      <c r="M64" s="1146"/>
      <c r="N64" s="1146"/>
      <c r="O64" s="1146"/>
      <c r="P64" s="1146"/>
      <c r="Q64" s="1146"/>
      <c r="R64" s="1156"/>
      <c r="S64" s="1156"/>
      <c r="T64" s="1156"/>
      <c r="U64" s="1156"/>
      <c r="V64" s="1156"/>
      <c r="W64" s="1156"/>
      <c r="X64" s="1156"/>
      <c r="Y64" s="1156"/>
      <c r="Z64" s="1156"/>
      <c r="AA64" s="1156"/>
      <c r="AB64" s="1156"/>
      <c r="AC64" s="1156"/>
      <c r="AD64" s="1156"/>
      <c r="AE64" s="1156"/>
      <c r="AF64" s="1156"/>
    </row>
    <row r="65" spans="1:32" ht="90">
      <c r="A65" s="1146"/>
      <c r="B65" s="1146"/>
      <c r="C65" s="1146" t="s">
        <v>2362</v>
      </c>
      <c r="D65" s="1146"/>
      <c r="E65" s="1146"/>
      <c r="F65" s="1146"/>
      <c r="G65" s="1146"/>
      <c r="H65" s="1198"/>
      <c r="I65" s="1198"/>
      <c r="J65" s="1146"/>
      <c r="K65" s="1198"/>
      <c r="L65" s="1198"/>
      <c r="M65" s="1146"/>
      <c r="N65" s="1146"/>
      <c r="O65" s="1146"/>
      <c r="P65" s="1146"/>
      <c r="Q65" s="1146"/>
      <c r="R65" s="1151"/>
      <c r="S65" s="1151"/>
      <c r="T65" s="1156"/>
      <c r="U65" s="1156"/>
      <c r="V65" s="1156"/>
      <c r="W65" s="1156"/>
      <c r="X65" s="1156"/>
      <c r="Y65" s="1156"/>
      <c r="Z65" s="1156"/>
      <c r="AA65" s="1156"/>
      <c r="AB65" s="1156"/>
      <c r="AC65" s="1156"/>
      <c r="AD65" s="1156"/>
      <c r="AE65" s="1156"/>
      <c r="AF65" s="1170"/>
    </row>
    <row r="66" spans="1:32">
      <c r="A66" s="1146"/>
      <c r="B66" s="1146"/>
      <c r="C66" s="1146"/>
      <c r="D66" s="1146"/>
      <c r="E66" s="1146"/>
      <c r="F66" s="1146"/>
      <c r="G66" s="1146"/>
      <c r="H66" s="1198"/>
      <c r="I66" s="1198"/>
      <c r="J66" s="1146"/>
      <c r="K66" s="1198"/>
      <c r="L66" s="1198"/>
      <c r="M66" s="1146"/>
      <c r="N66" s="1146"/>
      <c r="O66" s="1146"/>
      <c r="P66" s="1146"/>
      <c r="Q66" s="1146"/>
      <c r="R66" s="1151"/>
      <c r="S66" s="1151"/>
      <c r="T66" s="1156"/>
      <c r="U66" s="1156"/>
      <c r="V66" s="1156"/>
      <c r="W66" s="1156"/>
      <c r="X66" s="1156"/>
      <c r="Y66" s="1156"/>
      <c r="Z66" s="1156"/>
      <c r="AA66" s="1156"/>
      <c r="AB66" s="1156"/>
      <c r="AC66" s="1156"/>
      <c r="AD66" s="1156"/>
      <c r="AE66" s="1156"/>
      <c r="AF66" s="1156"/>
    </row>
    <row r="67" spans="1:32" ht="30">
      <c r="A67" s="1146"/>
      <c r="B67" s="1146"/>
      <c r="C67" s="1198" t="s">
        <v>91</v>
      </c>
      <c r="D67" s="1199"/>
      <c r="E67" s="1199"/>
      <c r="F67" s="1199"/>
      <c r="G67" s="1146"/>
      <c r="H67" s="1198"/>
      <c r="I67" s="1198"/>
      <c r="J67" s="1146"/>
      <c r="K67" s="1198"/>
      <c r="L67" s="1198"/>
      <c r="M67" s="1146"/>
      <c r="N67" s="1146"/>
      <c r="O67" s="1146"/>
      <c r="P67" s="1146"/>
      <c r="Q67" s="1146"/>
      <c r="R67" s="1156"/>
      <c r="S67" s="1156"/>
      <c r="T67" s="1156"/>
      <c r="U67" s="1156"/>
      <c r="V67" s="1156"/>
      <c r="W67" s="1156"/>
      <c r="X67" s="1156"/>
      <c r="Y67" s="1156"/>
      <c r="Z67" s="1156"/>
      <c r="AA67" s="1156"/>
      <c r="AB67" s="1156"/>
      <c r="AC67" s="1156"/>
      <c r="AD67" s="1156"/>
      <c r="AE67" s="1156"/>
      <c r="AF67" s="1156"/>
    </row>
    <row r="68" spans="1:32" ht="45">
      <c r="A68" s="1146"/>
      <c r="B68" s="1213" t="s">
        <v>1003</v>
      </c>
      <c r="C68" s="1213" t="s">
        <v>331</v>
      </c>
      <c r="D68" s="1213" t="s">
        <v>2260</v>
      </c>
      <c r="E68" s="1213" t="s">
        <v>425</v>
      </c>
      <c r="F68" s="1213" t="s">
        <v>1751</v>
      </c>
      <c r="G68" s="1213" t="s">
        <v>1752</v>
      </c>
      <c r="H68" s="1247"/>
      <c r="I68" s="1247"/>
      <c r="J68" s="1146"/>
      <c r="K68" s="1198"/>
      <c r="L68" s="1198"/>
      <c r="M68" s="1146"/>
      <c r="N68" s="1146"/>
      <c r="O68" s="1146"/>
      <c r="P68" s="1146"/>
      <c r="Q68" s="1146"/>
      <c r="R68" s="1156"/>
      <c r="S68" s="1156"/>
      <c r="T68" s="1156"/>
      <c r="U68" s="1156"/>
      <c r="V68" s="1156"/>
      <c r="W68" s="1156"/>
      <c r="X68" s="1156"/>
      <c r="Y68" s="1156"/>
      <c r="Z68" s="1156"/>
      <c r="AA68" s="1156"/>
      <c r="AB68" s="1156"/>
      <c r="AC68" s="1156"/>
      <c r="AD68" s="1156"/>
      <c r="AE68" s="1156"/>
      <c r="AF68" s="1156"/>
    </row>
    <row r="69" spans="1:32" ht="30">
      <c r="A69" s="1146"/>
      <c r="B69" s="1214">
        <v>1</v>
      </c>
      <c r="C69" s="1215" t="s">
        <v>1749</v>
      </c>
      <c r="D69" s="1216">
        <f>F21+F31</f>
        <v>6383.2400000000007</v>
      </c>
      <c r="E69" s="1216">
        <f>G21+G31</f>
        <v>3824.9499999999989</v>
      </c>
      <c r="F69" s="1216">
        <f>J21+J31</f>
        <v>733.36</v>
      </c>
      <c r="G69" s="1216">
        <f>M21+M31</f>
        <v>0</v>
      </c>
      <c r="H69" s="1248"/>
      <c r="I69" s="1248"/>
      <c r="J69" s="1146"/>
      <c r="K69" s="1198"/>
      <c r="L69" s="1198"/>
      <c r="M69" s="1146"/>
      <c r="N69" s="1146"/>
      <c r="O69" s="1146"/>
      <c r="P69" s="1146"/>
      <c r="Q69" s="114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</row>
    <row r="70" spans="1:32" ht="30">
      <c r="A70" s="1146"/>
      <c r="B70" s="1214">
        <v>2</v>
      </c>
      <c r="C70" s="1215" t="s">
        <v>2444</v>
      </c>
      <c r="D70" s="1216">
        <f>F36+F43</f>
        <v>104.67</v>
      </c>
      <c r="E70" s="1216">
        <f>G36+G43</f>
        <v>20.59</v>
      </c>
      <c r="F70" s="1216">
        <f>J36+J43</f>
        <v>27.25</v>
      </c>
      <c r="G70" s="1216">
        <f>M36+M43</f>
        <v>0</v>
      </c>
      <c r="H70" s="1248"/>
      <c r="I70" s="1248"/>
      <c r="J70" s="1146"/>
      <c r="K70" s="1198"/>
      <c r="L70" s="1198"/>
      <c r="M70" s="1146"/>
      <c r="N70" s="1146"/>
      <c r="O70" s="1146"/>
      <c r="P70" s="1146"/>
      <c r="Q70" s="1146"/>
      <c r="R70" s="1151"/>
      <c r="S70" s="1151"/>
      <c r="T70" s="1156"/>
      <c r="U70" s="1156"/>
      <c r="V70" s="1156"/>
      <c r="W70" s="1156"/>
      <c r="X70" s="1156"/>
      <c r="Y70" s="1156"/>
      <c r="Z70" s="1156"/>
      <c r="AA70" s="1156"/>
      <c r="AB70" s="1156"/>
      <c r="AC70" s="1156"/>
      <c r="AD70" s="1156"/>
      <c r="AE70" s="1156"/>
      <c r="AF70" s="1170"/>
    </row>
    <row r="71" spans="1:32">
      <c r="A71" s="1146"/>
      <c r="B71" s="1146"/>
      <c r="C71" s="1146"/>
      <c r="D71" s="1146"/>
      <c r="E71" s="1146"/>
      <c r="F71" s="1146"/>
      <c r="G71" s="1146"/>
      <c r="H71" s="1198"/>
      <c r="I71" s="1198"/>
      <c r="J71" s="1146"/>
      <c r="K71" s="1198"/>
      <c r="L71" s="1198"/>
      <c r="M71" s="1146"/>
      <c r="N71" s="1146"/>
      <c r="O71" s="1146"/>
      <c r="P71" s="1146"/>
      <c r="Q71" s="1146"/>
      <c r="R71" s="1146"/>
      <c r="S71" s="1146"/>
      <c r="T71" s="1146"/>
    </row>
    <row r="72" spans="1:32">
      <c r="A72" s="1146"/>
      <c r="B72" s="1146"/>
      <c r="C72" s="1146"/>
      <c r="D72" s="1146"/>
      <c r="E72" s="1146"/>
      <c r="F72" s="1146"/>
      <c r="G72" s="1146"/>
      <c r="H72" s="1198"/>
      <c r="I72" s="1198"/>
      <c r="J72" s="1146"/>
      <c r="K72" s="1198"/>
      <c r="L72" s="1198"/>
      <c r="M72" s="1146"/>
      <c r="N72" s="1146"/>
      <c r="O72" s="1146"/>
      <c r="P72" s="1146"/>
      <c r="Q72" s="1146"/>
      <c r="R72" s="1146"/>
      <c r="S72" s="1146"/>
      <c r="T72" s="1146"/>
    </row>
    <row r="73" spans="1:32">
      <c r="A73" s="1146"/>
      <c r="B73" s="1146"/>
      <c r="C73" s="1146"/>
      <c r="D73" s="1146"/>
      <c r="E73" s="1146"/>
      <c r="F73" s="1146"/>
      <c r="G73" s="1146"/>
      <c r="H73" s="1198"/>
      <c r="I73" s="1198"/>
      <c r="J73" s="1146"/>
      <c r="K73" s="1198"/>
      <c r="L73" s="1198"/>
      <c r="M73" s="1146"/>
      <c r="N73" s="1146"/>
      <c r="O73" s="1146"/>
      <c r="P73" s="1146"/>
      <c r="Q73" s="1146"/>
      <c r="R73" s="1146"/>
      <c r="S73" s="1146"/>
      <c r="T73" s="1146"/>
    </row>
    <row r="74" spans="1:32">
      <c r="A74" s="1146"/>
      <c r="B74" s="1146"/>
      <c r="C74" s="1198"/>
      <c r="D74" s="1146"/>
      <c r="E74" s="1146"/>
      <c r="F74" s="1146"/>
      <c r="G74" s="1146"/>
      <c r="H74" s="1198"/>
      <c r="I74" s="1198"/>
      <c r="J74" s="1146"/>
      <c r="K74" s="1198"/>
      <c r="L74" s="1198"/>
      <c r="M74" s="1146"/>
      <c r="N74" s="1146"/>
      <c r="O74" s="1146"/>
      <c r="P74" s="1146"/>
      <c r="Q74" s="1146"/>
      <c r="R74" s="1146"/>
      <c r="S74" s="1146"/>
      <c r="T74" s="1146"/>
    </row>
    <row r="75" spans="1:32">
      <c r="A75" s="1146"/>
      <c r="B75" s="1146"/>
      <c r="C75" s="1146"/>
      <c r="D75" s="1146"/>
      <c r="E75" s="1146"/>
      <c r="F75" s="1146"/>
      <c r="G75" s="1146"/>
      <c r="H75" s="1198"/>
      <c r="I75" s="1198"/>
      <c r="J75" s="1146"/>
      <c r="K75" s="1198"/>
      <c r="L75" s="1198"/>
      <c r="M75" s="1146"/>
      <c r="N75" s="1146"/>
      <c r="O75" s="1146"/>
      <c r="P75" s="1146"/>
      <c r="Q75" s="1146"/>
      <c r="R75" s="1146"/>
      <c r="S75" s="1146"/>
      <c r="T75" s="1146"/>
    </row>
    <row r="76" spans="1:32">
      <c r="A76" s="1146"/>
      <c r="B76" s="1146"/>
      <c r="C76" s="1146"/>
      <c r="D76" s="1146"/>
      <c r="E76" s="1146"/>
      <c r="F76" s="1146"/>
      <c r="G76" s="1146"/>
      <c r="H76" s="1198"/>
      <c r="I76" s="1198"/>
      <c r="J76" s="1146"/>
      <c r="K76" s="1198"/>
      <c r="L76" s="1198"/>
      <c r="M76" s="1146"/>
      <c r="N76" s="1146"/>
      <c r="O76" s="1146"/>
      <c r="P76" s="1146"/>
      <c r="Q76" s="1146"/>
      <c r="R76" s="1146"/>
      <c r="S76" s="1146"/>
      <c r="T76" s="1146"/>
    </row>
    <row r="77" spans="1:32">
      <c r="A77" s="1146"/>
      <c r="B77" s="1146"/>
      <c r="C77" s="1146"/>
      <c r="D77" s="1146"/>
      <c r="E77" s="1146"/>
      <c r="F77" s="1146"/>
      <c r="G77" s="1146"/>
      <c r="H77" s="1198"/>
      <c r="I77" s="1198"/>
      <c r="J77" s="1146"/>
      <c r="K77" s="1198"/>
      <c r="L77" s="1198"/>
      <c r="M77" s="1146"/>
      <c r="N77" s="1146"/>
      <c r="O77" s="1146"/>
      <c r="P77" s="1146"/>
      <c r="Q77" s="1146"/>
      <c r="R77" s="1146"/>
      <c r="S77" s="1146"/>
      <c r="T77" s="1146"/>
    </row>
    <row r="78" spans="1:32">
      <c r="A78" s="1146"/>
      <c r="B78" s="1146"/>
      <c r="C78" s="1146"/>
      <c r="D78" s="1146"/>
      <c r="E78" s="1146"/>
      <c r="F78" s="1146"/>
      <c r="G78" s="1146"/>
      <c r="H78" s="1198"/>
      <c r="I78" s="1198"/>
      <c r="J78" s="1146"/>
      <c r="K78" s="1198"/>
      <c r="L78" s="1198"/>
      <c r="M78" s="1146"/>
      <c r="N78" s="1146"/>
      <c r="O78" s="1146"/>
      <c r="P78" s="1146"/>
      <c r="Q78" s="1146"/>
      <c r="R78" s="1146"/>
      <c r="S78" s="1146"/>
      <c r="T78" s="1146"/>
    </row>
    <row r="79" spans="1:32">
      <c r="A79" s="1146"/>
      <c r="B79" s="1146"/>
      <c r="C79" s="1146"/>
      <c r="D79" s="1146"/>
      <c r="E79" s="1146"/>
      <c r="F79" s="1146"/>
      <c r="G79" s="1146"/>
      <c r="H79" s="1198"/>
      <c r="I79" s="1198"/>
      <c r="J79" s="1146"/>
      <c r="K79" s="1198"/>
      <c r="L79" s="1198"/>
      <c r="M79" s="1146"/>
      <c r="N79" s="1146"/>
      <c r="O79" s="1146"/>
      <c r="P79" s="1146"/>
      <c r="Q79" s="1146"/>
      <c r="R79" s="1146"/>
      <c r="S79" s="1146"/>
      <c r="T79" s="1146"/>
    </row>
    <row r="80" spans="1:32">
      <c r="A80" s="1146"/>
      <c r="B80" s="1146"/>
      <c r="C80" s="1146"/>
      <c r="D80" s="1146"/>
      <c r="E80" s="1146"/>
      <c r="F80" s="1146"/>
      <c r="G80" s="1146"/>
      <c r="H80" s="1198"/>
      <c r="I80" s="1198"/>
      <c r="J80" s="1146"/>
      <c r="K80" s="1198"/>
      <c r="L80" s="1198"/>
      <c r="M80" s="1146"/>
      <c r="N80" s="1146"/>
      <c r="O80" s="1146"/>
      <c r="P80" s="1146"/>
      <c r="Q80" s="1146"/>
      <c r="R80" s="1146"/>
      <c r="S80" s="1146"/>
      <c r="T80" s="1146"/>
    </row>
    <row r="81" spans="1:20">
      <c r="A81" s="1146"/>
      <c r="B81" s="1146"/>
      <c r="C81" s="1146"/>
      <c r="D81" s="1146"/>
      <c r="E81" s="1146"/>
      <c r="F81" s="1146"/>
      <c r="G81" s="1146"/>
      <c r="H81" s="1198"/>
      <c r="I81" s="1198"/>
      <c r="J81" s="1146"/>
      <c r="K81" s="1198"/>
      <c r="L81" s="1198"/>
      <c r="M81" s="1146"/>
      <c r="N81" s="1146"/>
      <c r="O81" s="1146"/>
      <c r="P81" s="1146"/>
      <c r="Q81" s="1146"/>
      <c r="R81" s="1146"/>
      <c r="S81" s="1146"/>
      <c r="T81" s="1146"/>
    </row>
    <row r="82" spans="1:20">
      <c r="A82" s="1146"/>
      <c r="B82" s="1146"/>
      <c r="C82" s="1146"/>
      <c r="D82" s="1146"/>
      <c r="E82" s="1146"/>
      <c r="F82" s="1146"/>
      <c r="G82" s="1146"/>
      <c r="H82" s="1198"/>
      <c r="I82" s="1198"/>
      <c r="J82" s="1146"/>
      <c r="K82" s="1198"/>
      <c r="L82" s="1198"/>
      <c r="M82" s="1146"/>
      <c r="N82" s="1146"/>
      <c r="O82" s="1146"/>
      <c r="P82" s="1146"/>
      <c r="Q82" s="1146"/>
      <c r="R82" s="1146"/>
      <c r="S82" s="1146"/>
      <c r="T82" s="1146"/>
    </row>
    <row r="83" spans="1:20">
      <c r="A83" s="1146"/>
      <c r="B83" s="1146"/>
      <c r="C83" s="1146"/>
      <c r="D83" s="1146"/>
      <c r="E83" s="1146"/>
      <c r="F83" s="1146"/>
      <c r="G83" s="1146"/>
      <c r="H83" s="1198"/>
      <c r="I83" s="1198"/>
      <c r="J83" s="1146"/>
      <c r="K83" s="1198"/>
      <c r="L83" s="1198"/>
      <c r="M83" s="1146"/>
      <c r="N83" s="1146"/>
      <c r="O83" s="1146"/>
      <c r="P83" s="1146"/>
      <c r="Q83" s="1146"/>
      <c r="R83" s="1146"/>
      <c r="S83" s="1146"/>
      <c r="T83" s="1146"/>
    </row>
    <row r="84" spans="1:20">
      <c r="A84" s="1146"/>
      <c r="B84" s="1146"/>
      <c r="C84" s="1146"/>
      <c r="D84" s="1146"/>
      <c r="E84" s="1146"/>
      <c r="F84" s="1146"/>
      <c r="G84" s="1146"/>
      <c r="H84" s="1198"/>
      <c r="I84" s="1198"/>
      <c r="J84" s="1146"/>
      <c r="K84" s="1198"/>
      <c r="L84" s="1198"/>
      <c r="M84" s="1146"/>
      <c r="N84" s="1146"/>
      <c r="O84" s="1146"/>
      <c r="P84" s="1146"/>
      <c r="Q84" s="1146"/>
      <c r="R84" s="1146"/>
      <c r="S84" s="1146"/>
      <c r="T84" s="1146"/>
    </row>
    <row r="85" spans="1:20">
      <c r="A85" s="1146"/>
      <c r="B85" s="1146"/>
      <c r="C85" s="1146"/>
      <c r="D85" s="1146"/>
      <c r="E85" s="1146"/>
      <c r="F85" s="1146"/>
      <c r="G85" s="1146"/>
      <c r="H85" s="1198"/>
      <c r="I85" s="1198"/>
      <c r="J85" s="1146"/>
      <c r="K85" s="1198"/>
      <c r="L85" s="1198"/>
      <c r="M85" s="1146"/>
      <c r="N85" s="1146"/>
      <c r="O85" s="1146"/>
      <c r="P85" s="1146"/>
      <c r="Q85" s="1146"/>
      <c r="R85" s="1146"/>
      <c r="S85" s="1146"/>
      <c r="T85" s="1146"/>
    </row>
    <row r="86" spans="1:20">
      <c r="A86" s="1146"/>
      <c r="B86" s="1146"/>
      <c r="C86" s="1146"/>
      <c r="D86" s="1146"/>
      <c r="E86" s="1146"/>
      <c r="F86" s="1146"/>
      <c r="G86" s="1146"/>
      <c r="H86" s="1198"/>
      <c r="I86" s="1198"/>
      <c r="J86" s="1146"/>
      <c r="K86" s="1198"/>
      <c r="L86" s="1198"/>
      <c r="M86" s="1146"/>
      <c r="N86" s="1146"/>
      <c r="O86" s="1146"/>
      <c r="P86" s="1146"/>
      <c r="Q86" s="1146"/>
      <c r="R86" s="1146"/>
      <c r="S86" s="1146"/>
      <c r="T86" s="1146"/>
    </row>
    <row r="87" spans="1:20">
      <c r="A87" s="1146"/>
      <c r="B87" s="1146"/>
      <c r="C87" s="1146"/>
      <c r="D87" s="1146"/>
      <c r="E87" s="1146"/>
      <c r="F87" s="1146"/>
      <c r="G87" s="1146"/>
      <c r="H87" s="1198"/>
      <c r="I87" s="1198"/>
      <c r="J87" s="1146"/>
      <c r="K87" s="1198"/>
      <c r="L87" s="1198"/>
      <c r="M87" s="1146"/>
      <c r="N87" s="1146"/>
      <c r="O87" s="1146"/>
      <c r="P87" s="1146"/>
      <c r="Q87" s="1146"/>
      <c r="R87" s="1146"/>
      <c r="S87" s="1146"/>
      <c r="T87" s="1146"/>
    </row>
    <row r="88" spans="1:20">
      <c r="A88" s="1146"/>
      <c r="B88" s="1146"/>
      <c r="C88" s="1146"/>
      <c r="D88" s="1146"/>
      <c r="E88" s="1146"/>
      <c r="F88" s="1146"/>
      <c r="G88" s="1146"/>
      <c r="H88" s="1198"/>
      <c r="I88" s="1198"/>
      <c r="J88" s="1146"/>
      <c r="K88" s="1198"/>
      <c r="L88" s="1198"/>
      <c r="M88" s="1146"/>
      <c r="N88" s="1146"/>
      <c r="O88" s="1146"/>
      <c r="P88" s="1146"/>
      <c r="Q88" s="1146"/>
      <c r="R88" s="1146"/>
      <c r="S88" s="1146"/>
      <c r="T88" s="1146"/>
    </row>
    <row r="89" spans="1:20">
      <c r="A89" s="1146"/>
      <c r="B89" s="1146"/>
      <c r="C89" s="1146"/>
      <c r="D89" s="1146"/>
      <c r="E89" s="1146"/>
      <c r="F89" s="1146"/>
      <c r="G89" s="1146"/>
      <c r="H89" s="1198"/>
      <c r="I89" s="1198"/>
      <c r="J89" s="1146"/>
      <c r="K89" s="1198"/>
      <c r="L89" s="1198"/>
      <c r="M89" s="1146"/>
      <c r="N89" s="1146"/>
      <c r="O89" s="1146"/>
      <c r="P89" s="1146"/>
      <c r="Q89" s="1146"/>
      <c r="R89" s="1146"/>
      <c r="S89" s="1146"/>
      <c r="T89" s="1146"/>
    </row>
    <row r="90" spans="1:20">
      <c r="A90" s="1146"/>
      <c r="B90" s="1146"/>
      <c r="C90" s="1146"/>
      <c r="D90" s="1146"/>
      <c r="E90" s="1146"/>
      <c r="F90" s="1146"/>
      <c r="G90" s="1146"/>
      <c r="H90" s="1198"/>
      <c r="I90" s="1198"/>
      <c r="J90" s="1146"/>
      <c r="K90" s="1198"/>
      <c r="L90" s="1198"/>
      <c r="M90" s="1146"/>
      <c r="N90" s="1146"/>
      <c r="O90" s="1146"/>
      <c r="P90" s="1146"/>
      <c r="Q90" s="1146"/>
      <c r="R90" s="1146"/>
      <c r="S90" s="1146"/>
      <c r="T90" s="1146"/>
    </row>
    <row r="91" spans="1:20">
      <c r="A91" s="1146"/>
      <c r="B91" s="1146"/>
      <c r="C91" s="1146"/>
      <c r="D91" s="1146"/>
      <c r="E91" s="1146"/>
      <c r="F91" s="1146"/>
      <c r="G91" s="1146"/>
      <c r="H91" s="1198"/>
      <c r="I91" s="1198"/>
      <c r="J91" s="1146"/>
      <c r="K91" s="1198"/>
      <c r="L91" s="1198"/>
      <c r="M91" s="1146"/>
      <c r="N91" s="1146"/>
      <c r="O91" s="1146"/>
      <c r="P91" s="1146"/>
      <c r="Q91" s="1146"/>
      <c r="R91" s="1146"/>
      <c r="S91" s="1146"/>
      <c r="T91" s="1146"/>
    </row>
    <row r="92" spans="1:20">
      <c r="A92" s="1146"/>
      <c r="B92" s="1146"/>
      <c r="C92" s="1146"/>
      <c r="D92" s="1146"/>
      <c r="E92" s="1146"/>
      <c r="F92" s="1146"/>
      <c r="G92" s="1146"/>
      <c r="H92" s="1198"/>
      <c r="I92" s="1198"/>
      <c r="J92" s="1146"/>
      <c r="K92" s="1198"/>
      <c r="L92" s="1198"/>
      <c r="M92" s="1146"/>
      <c r="N92" s="1146"/>
      <c r="O92" s="1146"/>
      <c r="P92" s="1146"/>
      <c r="Q92" s="1146"/>
      <c r="R92" s="1146"/>
      <c r="S92" s="1146"/>
      <c r="T92" s="1146"/>
    </row>
    <row r="93" spans="1:20">
      <c r="A93" s="1146"/>
      <c r="B93" s="1146"/>
      <c r="C93" s="1146"/>
      <c r="D93" s="1146"/>
      <c r="E93" s="1146"/>
      <c r="F93" s="1146"/>
      <c r="G93" s="1146"/>
      <c r="H93" s="1198"/>
      <c r="I93" s="1198"/>
      <c r="J93" s="1146"/>
      <c r="K93" s="1198"/>
      <c r="L93" s="1198"/>
      <c r="M93" s="1146"/>
      <c r="N93" s="1146"/>
      <c r="O93" s="1146"/>
      <c r="P93" s="1146"/>
      <c r="Q93" s="1146"/>
      <c r="R93" s="1146"/>
      <c r="S93" s="1146"/>
      <c r="T93" s="1146"/>
    </row>
    <row r="94" spans="1:20">
      <c r="A94" s="1146"/>
      <c r="B94" s="1146"/>
      <c r="C94" s="1146"/>
      <c r="D94" s="1146"/>
      <c r="E94" s="1146"/>
      <c r="F94" s="1146"/>
      <c r="G94" s="1146"/>
      <c r="H94" s="1198"/>
      <c r="I94" s="1198"/>
      <c r="J94" s="1146"/>
      <c r="K94" s="1198"/>
      <c r="L94" s="1198"/>
      <c r="M94" s="1146"/>
      <c r="N94" s="1146"/>
      <c r="O94" s="1146"/>
      <c r="P94" s="1146"/>
      <c r="Q94" s="1146"/>
      <c r="R94" s="1146"/>
      <c r="S94" s="1146"/>
      <c r="T94" s="1146"/>
    </row>
    <row r="95" spans="1:20">
      <c r="A95" s="1146"/>
      <c r="B95" s="1146"/>
      <c r="C95" s="1146"/>
      <c r="D95" s="1146"/>
      <c r="E95" s="1146"/>
      <c r="F95" s="1146"/>
      <c r="G95" s="1146"/>
      <c r="H95" s="1198"/>
      <c r="I95" s="1198"/>
      <c r="J95" s="1146"/>
      <c r="K95" s="1198"/>
      <c r="L95" s="1198"/>
      <c r="M95" s="1146"/>
      <c r="N95" s="1146"/>
      <c r="O95" s="1146"/>
      <c r="P95" s="1146"/>
      <c r="Q95" s="1146"/>
      <c r="R95" s="1146"/>
      <c r="S95" s="1146"/>
      <c r="T95" s="1146"/>
    </row>
    <row r="96" spans="1:20">
      <c r="A96" s="1146"/>
      <c r="B96" s="1146"/>
      <c r="C96" s="1146"/>
      <c r="D96" s="1146"/>
      <c r="E96" s="1146"/>
      <c r="F96" s="1146"/>
      <c r="G96" s="1146"/>
      <c r="H96" s="1198"/>
      <c r="I96" s="1198"/>
      <c r="J96" s="1146"/>
      <c r="K96" s="1198"/>
      <c r="L96" s="1198"/>
      <c r="M96" s="1146"/>
      <c r="N96" s="1146"/>
      <c r="O96" s="1146"/>
      <c r="P96" s="1146"/>
      <c r="Q96" s="1146"/>
      <c r="R96" s="1146"/>
      <c r="S96" s="1146"/>
      <c r="T96" s="1146"/>
    </row>
    <row r="97" spans="1:20">
      <c r="A97" s="1146"/>
      <c r="B97" s="1146"/>
      <c r="C97" s="1146"/>
      <c r="D97" s="1146"/>
      <c r="E97" s="1146"/>
      <c r="F97" s="1146"/>
      <c r="G97" s="1146"/>
      <c r="H97" s="1198"/>
      <c r="I97" s="1198"/>
      <c r="J97" s="1146"/>
      <c r="K97" s="1198"/>
      <c r="L97" s="1198"/>
      <c r="M97" s="1146"/>
      <c r="N97" s="1146"/>
      <c r="O97" s="1146"/>
      <c r="P97" s="1146"/>
      <c r="Q97" s="1146"/>
      <c r="R97" s="1146"/>
      <c r="S97" s="1146"/>
      <c r="T97" s="1146"/>
    </row>
    <row r="98" spans="1:20">
      <c r="A98" s="1146"/>
      <c r="B98" s="1146"/>
      <c r="C98" s="1146"/>
      <c r="D98" s="1146"/>
      <c r="E98" s="1146"/>
      <c r="F98" s="1146"/>
      <c r="G98" s="1146"/>
      <c r="H98" s="1198"/>
      <c r="I98" s="1198"/>
      <c r="J98" s="1146"/>
      <c r="K98" s="1198"/>
      <c r="L98" s="1198"/>
      <c r="M98" s="1146"/>
      <c r="N98" s="1146"/>
      <c r="O98" s="1146"/>
      <c r="P98" s="1146"/>
      <c r="Q98" s="1146"/>
      <c r="R98" s="1146"/>
      <c r="S98" s="1146"/>
      <c r="T98" s="1146"/>
    </row>
    <row r="99" spans="1:20">
      <c r="A99" s="1146"/>
      <c r="B99" s="1146"/>
      <c r="C99" s="1146"/>
      <c r="D99" s="1146"/>
      <c r="E99" s="1146"/>
      <c r="F99" s="1146"/>
      <c r="G99" s="1146"/>
      <c r="H99" s="1198"/>
      <c r="I99" s="1198"/>
      <c r="J99" s="1146"/>
      <c r="K99" s="1198"/>
      <c r="L99" s="1198"/>
      <c r="M99" s="1146"/>
      <c r="N99" s="1146"/>
      <c r="O99" s="1146"/>
      <c r="P99" s="1146"/>
      <c r="Q99" s="1146"/>
      <c r="R99" s="1146"/>
      <c r="S99" s="1146"/>
      <c r="T99" s="1146"/>
    </row>
    <row r="100" spans="1:20">
      <c r="A100" s="1146"/>
      <c r="B100" s="1146"/>
      <c r="C100" s="1146"/>
      <c r="D100" s="1146"/>
      <c r="E100" s="1146"/>
      <c r="F100" s="1146"/>
      <c r="G100" s="1146"/>
      <c r="H100" s="1198"/>
      <c r="I100" s="1198"/>
      <c r="J100" s="1146"/>
      <c r="K100" s="1198"/>
      <c r="L100" s="1198"/>
      <c r="M100" s="1146"/>
      <c r="N100" s="1146"/>
      <c r="O100" s="1146"/>
      <c r="P100" s="1146"/>
      <c r="Q100" s="1146"/>
      <c r="R100" s="1146"/>
      <c r="S100" s="1146"/>
      <c r="T100" s="1146"/>
    </row>
    <row r="101" spans="1:20">
      <c r="A101" s="1146"/>
      <c r="B101" s="1146"/>
      <c r="C101" s="1146"/>
      <c r="D101" s="1146"/>
      <c r="E101" s="1146"/>
      <c r="F101" s="1146"/>
      <c r="G101" s="1146"/>
      <c r="H101" s="1198"/>
      <c r="I101" s="1198"/>
      <c r="J101" s="1146"/>
      <c r="K101" s="1198"/>
      <c r="L101" s="1198"/>
      <c r="M101" s="1146"/>
      <c r="N101" s="1146"/>
      <c r="O101" s="1146"/>
      <c r="P101" s="1146"/>
      <c r="Q101" s="1146"/>
      <c r="R101" s="1146"/>
      <c r="S101" s="1146"/>
      <c r="T101" s="1146"/>
    </row>
    <row r="102" spans="1:20">
      <c r="A102" s="1146"/>
      <c r="B102" s="1146"/>
      <c r="C102" s="1146"/>
      <c r="D102" s="1146"/>
      <c r="E102" s="1146"/>
      <c r="F102" s="1146"/>
      <c r="G102" s="1146"/>
      <c r="H102" s="1198"/>
      <c r="I102" s="1198"/>
      <c r="J102" s="1146"/>
      <c r="K102" s="1198"/>
      <c r="L102" s="1198"/>
      <c r="M102" s="1146"/>
      <c r="N102" s="1146"/>
      <c r="O102" s="1146"/>
      <c r="P102" s="1146"/>
      <c r="Q102" s="1146"/>
      <c r="R102" s="1146"/>
      <c r="S102" s="1146"/>
      <c r="T102" s="1146"/>
    </row>
    <row r="103" spans="1:20">
      <c r="A103" s="1146"/>
      <c r="B103" s="1146"/>
      <c r="C103" s="1146"/>
      <c r="D103" s="1146"/>
      <c r="E103" s="1146"/>
      <c r="F103" s="1146"/>
      <c r="G103" s="1146"/>
      <c r="H103" s="1198"/>
      <c r="I103" s="1198"/>
      <c r="J103" s="1146"/>
      <c r="K103" s="1198"/>
      <c r="L103" s="1198"/>
      <c r="M103" s="1146"/>
      <c r="N103" s="1146"/>
      <c r="O103" s="1146"/>
      <c r="P103" s="1146"/>
      <c r="Q103" s="1146"/>
      <c r="R103" s="1146"/>
      <c r="S103" s="1146"/>
      <c r="T103" s="1146"/>
    </row>
    <row r="104" spans="1:20">
      <c r="A104" s="1146"/>
      <c r="B104" s="1146"/>
      <c r="C104" s="1146"/>
      <c r="D104" s="1146"/>
      <c r="E104" s="1146"/>
      <c r="F104" s="1146"/>
      <c r="G104" s="1146"/>
      <c r="H104" s="1198"/>
      <c r="I104" s="1198"/>
      <c r="J104" s="1146"/>
      <c r="K104" s="1198"/>
      <c r="L104" s="1198"/>
      <c r="M104" s="1146"/>
      <c r="N104" s="1146"/>
      <c r="O104" s="1146"/>
      <c r="P104" s="1146"/>
      <c r="Q104" s="1146"/>
      <c r="R104" s="1146"/>
      <c r="S104" s="1146"/>
      <c r="T104" s="1146"/>
    </row>
    <row r="105" spans="1:20">
      <c r="A105" s="1146"/>
      <c r="B105" s="1146"/>
      <c r="C105" s="1146"/>
      <c r="D105" s="1146"/>
      <c r="E105" s="1146"/>
      <c r="F105" s="1146"/>
      <c r="G105" s="1146"/>
      <c r="H105" s="1198"/>
      <c r="I105" s="1198"/>
      <c r="J105" s="1146"/>
      <c r="K105" s="1198"/>
      <c r="L105" s="1198"/>
      <c r="M105" s="1146"/>
      <c r="N105" s="1146"/>
      <c r="O105" s="1146"/>
      <c r="P105" s="1146"/>
      <c r="Q105" s="1146"/>
      <c r="R105" s="1146"/>
      <c r="S105" s="1146"/>
      <c r="T105" s="1146"/>
    </row>
    <row r="106" spans="1:20">
      <c r="A106" s="1146"/>
      <c r="B106" s="1146"/>
      <c r="C106" s="1146"/>
      <c r="D106" s="1146"/>
      <c r="E106" s="1146"/>
      <c r="F106" s="1146"/>
      <c r="G106" s="1146"/>
      <c r="H106" s="1198"/>
      <c r="I106" s="1198"/>
      <c r="J106" s="1146"/>
      <c r="K106" s="1198"/>
      <c r="L106" s="1198"/>
      <c r="M106" s="1146"/>
      <c r="N106" s="1146"/>
      <c r="O106" s="1146"/>
      <c r="P106" s="1146"/>
      <c r="Q106" s="1146"/>
      <c r="R106" s="1146"/>
      <c r="S106" s="1146"/>
      <c r="T106" s="1146"/>
    </row>
    <row r="107" spans="1:20">
      <c r="A107" s="1146"/>
      <c r="B107" s="1146"/>
      <c r="C107" s="1146"/>
      <c r="D107" s="1146"/>
      <c r="E107" s="1146"/>
      <c r="F107" s="1146"/>
      <c r="G107" s="1146"/>
      <c r="H107" s="1198"/>
      <c r="I107" s="1198"/>
      <c r="J107" s="1146"/>
      <c r="K107" s="1198"/>
      <c r="L107" s="1198"/>
      <c r="M107" s="1146"/>
      <c r="N107" s="1146"/>
      <c r="O107" s="1146"/>
      <c r="P107" s="1146"/>
      <c r="Q107" s="1146"/>
      <c r="R107" s="1146"/>
      <c r="S107" s="1146"/>
      <c r="T107" s="1146"/>
    </row>
    <row r="108" spans="1:20">
      <c r="A108" s="1146"/>
      <c r="B108" s="1146"/>
      <c r="C108" s="1146"/>
      <c r="D108" s="1146"/>
      <c r="E108" s="1146"/>
      <c r="F108" s="1146"/>
      <c r="G108" s="1146"/>
      <c r="H108" s="1198"/>
      <c r="I108" s="1198"/>
      <c r="J108" s="1146"/>
      <c r="K108" s="1198"/>
      <c r="L108" s="1198"/>
      <c r="M108" s="1146"/>
      <c r="N108" s="1146"/>
      <c r="O108" s="1146"/>
      <c r="P108" s="1146"/>
      <c r="Q108" s="1146"/>
      <c r="R108" s="1146"/>
      <c r="S108" s="1146"/>
      <c r="T108" s="1146"/>
    </row>
    <row r="109" spans="1:20">
      <c r="A109" s="1146"/>
      <c r="B109" s="1146"/>
      <c r="C109" s="1146"/>
      <c r="D109" s="1146"/>
      <c r="E109" s="1146"/>
      <c r="F109" s="1146"/>
      <c r="G109" s="1146"/>
      <c r="H109" s="1198"/>
      <c r="I109" s="1198"/>
      <c r="J109" s="1146"/>
      <c r="K109" s="1198"/>
      <c r="L109" s="1198"/>
      <c r="M109" s="1146"/>
      <c r="N109" s="1146"/>
      <c r="O109" s="1146"/>
      <c r="P109" s="1146"/>
      <c r="Q109" s="1146"/>
      <c r="R109" s="1146"/>
      <c r="S109" s="1146"/>
      <c r="T109" s="1146"/>
    </row>
    <row r="110" spans="1:20">
      <c r="A110" s="1146"/>
      <c r="B110" s="1146"/>
      <c r="C110" s="1146"/>
      <c r="D110" s="1146"/>
      <c r="E110" s="1146"/>
      <c r="F110" s="1146"/>
      <c r="G110" s="1146"/>
      <c r="H110" s="1198"/>
      <c r="I110" s="1198"/>
      <c r="J110" s="1146"/>
      <c r="K110" s="1198"/>
      <c r="L110" s="1198"/>
      <c r="M110" s="1146"/>
      <c r="N110" s="1146"/>
      <c r="O110" s="1146"/>
      <c r="P110" s="1146"/>
      <c r="Q110" s="1146"/>
      <c r="R110" s="1146"/>
      <c r="S110" s="1146"/>
      <c r="T110" s="1146"/>
    </row>
    <row r="111" spans="1:20">
      <c r="A111" s="1146"/>
      <c r="B111" s="1146"/>
      <c r="C111" s="1146"/>
      <c r="D111" s="1146"/>
      <c r="E111" s="1146"/>
      <c r="F111" s="1146"/>
      <c r="G111" s="1146"/>
      <c r="H111" s="1198"/>
      <c r="I111" s="1198"/>
      <c r="J111" s="1146"/>
      <c r="K111" s="1198"/>
      <c r="L111" s="1198"/>
      <c r="M111" s="1146"/>
      <c r="N111" s="1146"/>
      <c r="O111" s="1146"/>
      <c r="P111" s="1146"/>
      <c r="Q111" s="1146"/>
      <c r="R111" s="1146"/>
      <c r="S111" s="1146"/>
      <c r="T111" s="1146"/>
    </row>
    <row r="112" spans="1:20">
      <c r="A112" s="1146"/>
      <c r="B112" s="1146"/>
      <c r="C112" s="1146"/>
      <c r="D112" s="1146"/>
      <c r="E112" s="1146"/>
      <c r="F112" s="1146"/>
      <c r="G112" s="1146"/>
      <c r="H112" s="1198"/>
      <c r="I112" s="1198"/>
      <c r="J112" s="1146"/>
      <c r="K112" s="1198"/>
      <c r="L112" s="1198"/>
      <c r="M112" s="1146"/>
      <c r="N112" s="1146"/>
      <c r="O112" s="1146"/>
      <c r="P112" s="1146"/>
      <c r="Q112" s="1146"/>
      <c r="R112" s="1146"/>
      <c r="S112" s="1146"/>
      <c r="T112" s="1146"/>
    </row>
    <row r="113" spans="1:20">
      <c r="A113" s="1146"/>
      <c r="B113" s="1146"/>
      <c r="C113" s="1146"/>
      <c r="D113" s="1146"/>
      <c r="E113" s="1146"/>
      <c r="F113" s="1146"/>
      <c r="G113" s="1146"/>
      <c r="H113" s="1198"/>
      <c r="I113" s="1198"/>
      <c r="J113" s="1146"/>
      <c r="K113" s="1198"/>
      <c r="L113" s="1198"/>
      <c r="M113" s="1146"/>
      <c r="N113" s="1146"/>
      <c r="O113" s="1146"/>
      <c r="P113" s="1146"/>
      <c r="Q113" s="1146"/>
      <c r="R113" s="1146"/>
      <c r="S113" s="1146"/>
      <c r="T113" s="1146"/>
    </row>
    <row r="114" spans="1:20">
      <c r="A114" s="1146"/>
      <c r="B114" s="1146"/>
      <c r="C114" s="1146"/>
      <c r="D114" s="1146"/>
      <c r="E114" s="1146"/>
      <c r="F114" s="1146"/>
      <c r="G114" s="1146"/>
      <c r="H114" s="1198"/>
      <c r="I114" s="1198"/>
      <c r="J114" s="1146"/>
      <c r="K114" s="1198"/>
      <c r="L114" s="1198"/>
      <c r="M114" s="1146"/>
      <c r="N114" s="1146"/>
      <c r="O114" s="1146"/>
      <c r="P114" s="1146"/>
      <c r="Q114" s="1146"/>
      <c r="R114" s="1146"/>
      <c r="S114" s="1146"/>
      <c r="T114" s="1146"/>
    </row>
    <row r="115" spans="1:20">
      <c r="A115" s="1146"/>
      <c r="B115" s="1146"/>
      <c r="C115" s="1146"/>
      <c r="D115" s="1146"/>
      <c r="E115" s="1146"/>
      <c r="F115" s="1146"/>
      <c r="G115" s="1146"/>
      <c r="H115" s="1198"/>
      <c r="I115" s="1198"/>
      <c r="J115" s="1146"/>
      <c r="K115" s="1198"/>
      <c r="L115" s="1198"/>
      <c r="M115" s="1146"/>
      <c r="N115" s="1146"/>
      <c r="O115" s="1146"/>
      <c r="P115" s="1146"/>
      <c r="Q115" s="1146"/>
      <c r="R115" s="1146"/>
      <c r="S115" s="1146"/>
      <c r="T115" s="1146"/>
    </row>
    <row r="116" spans="1:20">
      <c r="A116" s="1146"/>
      <c r="B116" s="1146"/>
      <c r="C116" s="1146"/>
      <c r="D116" s="1146"/>
      <c r="E116" s="1146"/>
      <c r="F116" s="1146"/>
      <c r="G116" s="1146"/>
      <c r="H116" s="1198"/>
      <c r="I116" s="1198"/>
      <c r="J116" s="1146"/>
      <c r="K116" s="1198"/>
      <c r="L116" s="1198"/>
      <c r="M116" s="1146"/>
      <c r="N116" s="1146"/>
      <c r="O116" s="1146"/>
      <c r="P116" s="1146"/>
      <c r="Q116" s="1146"/>
      <c r="R116" s="1146"/>
      <c r="S116" s="1146"/>
      <c r="T116" s="1146"/>
    </row>
    <row r="117" spans="1:20">
      <c r="A117" s="1146"/>
      <c r="B117" s="1146"/>
      <c r="C117" s="1146"/>
      <c r="D117" s="1146"/>
      <c r="E117" s="1146"/>
      <c r="F117" s="1146"/>
      <c r="G117" s="1146"/>
      <c r="H117" s="1198"/>
      <c r="I117" s="1198"/>
      <c r="J117" s="1146"/>
      <c r="K117" s="1198"/>
      <c r="L117" s="1198"/>
      <c r="M117" s="1146"/>
      <c r="N117" s="1146"/>
      <c r="O117" s="1146"/>
      <c r="P117" s="1146"/>
      <c r="Q117" s="1146"/>
      <c r="R117" s="1146"/>
      <c r="S117" s="1146"/>
      <c r="T117" s="1146"/>
    </row>
    <row r="118" spans="1:20">
      <c r="A118" s="1146"/>
      <c r="B118" s="1146"/>
      <c r="C118" s="1146"/>
      <c r="D118" s="1146"/>
      <c r="E118" s="1146"/>
      <c r="F118" s="1146"/>
      <c r="G118" s="1146"/>
      <c r="H118" s="1198"/>
      <c r="I118" s="1198"/>
      <c r="J118" s="1146"/>
      <c r="K118" s="1198"/>
      <c r="L118" s="1198"/>
      <c r="M118" s="1146"/>
      <c r="N118" s="1146"/>
      <c r="O118" s="1146"/>
      <c r="P118" s="1146"/>
      <c r="Q118" s="1146"/>
      <c r="R118" s="1146"/>
      <c r="S118" s="1146"/>
      <c r="T118" s="1146"/>
    </row>
    <row r="119" spans="1:20">
      <c r="A119" s="1146"/>
      <c r="B119" s="1146"/>
      <c r="C119" s="1146"/>
      <c r="D119" s="1146"/>
      <c r="E119" s="1146"/>
      <c r="F119" s="1146"/>
      <c r="G119" s="1146"/>
      <c r="H119" s="1198"/>
      <c r="I119" s="1198"/>
      <c r="J119" s="1146"/>
      <c r="K119" s="1198"/>
      <c r="L119" s="1198"/>
      <c r="M119" s="1146"/>
      <c r="N119" s="1146"/>
      <c r="O119" s="1146"/>
      <c r="P119" s="1146"/>
      <c r="Q119" s="1146"/>
      <c r="R119" s="1146"/>
      <c r="S119" s="1146"/>
      <c r="T119" s="1146"/>
    </row>
    <row r="120" spans="1:20">
      <c r="A120" s="1146"/>
      <c r="B120" s="1146"/>
      <c r="C120" s="1146"/>
      <c r="D120" s="1146"/>
      <c r="E120" s="1146"/>
      <c r="F120" s="1146"/>
      <c r="G120" s="1146"/>
      <c r="H120" s="1198"/>
      <c r="I120" s="1198"/>
      <c r="J120" s="1146"/>
      <c r="K120" s="1198"/>
      <c r="L120" s="1198"/>
      <c r="M120" s="1146"/>
      <c r="N120" s="1146"/>
      <c r="O120" s="1146"/>
      <c r="P120" s="1146"/>
      <c r="Q120" s="1146"/>
      <c r="R120" s="1146"/>
      <c r="S120" s="1146"/>
      <c r="T120" s="1146"/>
    </row>
    <row r="121" spans="1:20">
      <c r="A121" s="1146"/>
      <c r="B121" s="1146"/>
      <c r="C121" s="1146"/>
      <c r="D121" s="1146"/>
      <c r="E121" s="1146"/>
      <c r="F121" s="1146"/>
      <c r="G121" s="1146"/>
      <c r="H121" s="1198"/>
      <c r="I121" s="1198"/>
      <c r="J121" s="1146"/>
      <c r="K121" s="1198"/>
      <c r="L121" s="1198"/>
      <c r="M121" s="1146"/>
      <c r="N121" s="1146"/>
      <c r="O121" s="1146"/>
      <c r="P121" s="1146"/>
      <c r="Q121" s="1146"/>
      <c r="R121" s="1146"/>
      <c r="S121" s="1146"/>
      <c r="T121" s="1146"/>
    </row>
    <row r="122" spans="1:20">
      <c r="A122" s="1146"/>
      <c r="B122" s="1146"/>
      <c r="C122" s="1146"/>
      <c r="D122" s="1146"/>
      <c r="E122" s="1146"/>
      <c r="F122" s="1146"/>
      <c r="G122" s="1146"/>
      <c r="H122" s="1198"/>
      <c r="I122" s="1198"/>
      <c r="J122" s="1146"/>
      <c r="K122" s="1198"/>
      <c r="L122" s="1198"/>
      <c r="M122" s="1146"/>
      <c r="N122" s="1146"/>
      <c r="O122" s="1146"/>
      <c r="P122" s="1146"/>
      <c r="Q122" s="1146"/>
      <c r="R122" s="1146"/>
      <c r="S122" s="1146"/>
      <c r="T122" s="1146"/>
    </row>
    <row r="123" spans="1:20">
      <c r="A123" s="1146"/>
      <c r="B123" s="1146"/>
      <c r="C123" s="1146"/>
      <c r="D123" s="1146"/>
      <c r="E123" s="1146"/>
      <c r="F123" s="1146"/>
      <c r="G123" s="1146"/>
      <c r="H123" s="1198"/>
      <c r="I123" s="1198"/>
      <c r="J123" s="1146"/>
      <c r="K123" s="1198"/>
      <c r="L123" s="1198"/>
      <c r="M123" s="1146"/>
      <c r="N123" s="1146"/>
      <c r="O123" s="1146"/>
      <c r="P123" s="1146"/>
      <c r="Q123" s="1146"/>
      <c r="R123" s="1146"/>
      <c r="S123" s="1146"/>
      <c r="T123" s="1146"/>
    </row>
    <row r="124" spans="1:20">
      <c r="A124" s="1146"/>
      <c r="B124" s="1146"/>
      <c r="C124" s="1146"/>
      <c r="D124" s="1146"/>
      <c r="E124" s="1146"/>
      <c r="F124" s="1146"/>
      <c r="G124" s="1146"/>
      <c r="H124" s="1198"/>
      <c r="I124" s="1198"/>
      <c r="J124" s="1146"/>
      <c r="K124" s="1198"/>
      <c r="L124" s="1198"/>
      <c r="M124" s="1146"/>
      <c r="N124" s="1146"/>
      <c r="O124" s="1146"/>
      <c r="P124" s="1146"/>
      <c r="Q124" s="1146"/>
      <c r="R124" s="1146"/>
      <c r="S124" s="1146"/>
      <c r="T124" s="1146"/>
    </row>
    <row r="125" spans="1:20">
      <c r="A125" s="1146"/>
      <c r="B125" s="1146"/>
      <c r="C125" s="1146"/>
      <c r="D125" s="1146"/>
      <c r="E125" s="1146"/>
      <c r="F125" s="1146"/>
      <c r="G125" s="1146"/>
      <c r="H125" s="1198"/>
      <c r="I125" s="1198"/>
      <c r="J125" s="1146"/>
      <c r="K125" s="1198"/>
      <c r="L125" s="1198"/>
      <c r="M125" s="1146"/>
      <c r="N125" s="1146"/>
      <c r="O125" s="1146"/>
      <c r="P125" s="1146"/>
      <c r="Q125" s="1146"/>
      <c r="R125" s="1146"/>
      <c r="S125" s="1146"/>
      <c r="T125" s="1146"/>
    </row>
    <row r="126" spans="1:20">
      <c r="A126" s="1146"/>
      <c r="B126" s="1146"/>
      <c r="C126" s="1146"/>
      <c r="D126" s="1146"/>
      <c r="E126" s="1146"/>
      <c r="F126" s="1146"/>
      <c r="G126" s="1146"/>
      <c r="H126" s="1198"/>
      <c r="I126" s="1198"/>
      <c r="J126" s="1146"/>
      <c r="K126" s="1198"/>
      <c r="L126" s="1198"/>
      <c r="M126" s="1146"/>
      <c r="N126" s="1146"/>
      <c r="O126" s="1146"/>
      <c r="P126" s="1146"/>
      <c r="Q126" s="1146"/>
      <c r="R126" s="1146"/>
      <c r="S126" s="1146"/>
      <c r="T126" s="1146"/>
    </row>
    <row r="127" spans="1:20">
      <c r="A127" s="1146"/>
      <c r="B127" s="1146"/>
      <c r="C127" s="1146"/>
      <c r="D127" s="1146"/>
      <c r="E127" s="1146"/>
      <c r="F127" s="1146"/>
      <c r="G127" s="1146"/>
      <c r="H127" s="1198"/>
      <c r="I127" s="1198"/>
      <c r="J127" s="1146"/>
      <c r="K127" s="1198"/>
      <c r="L127" s="1198"/>
      <c r="M127" s="1146"/>
      <c r="N127" s="1146"/>
      <c r="O127" s="1146"/>
      <c r="P127" s="1146"/>
      <c r="Q127" s="1146"/>
      <c r="R127" s="1146"/>
      <c r="S127" s="1146"/>
      <c r="T127" s="1146"/>
    </row>
    <row r="128" spans="1:20">
      <c r="A128" s="1146"/>
      <c r="B128" s="1146"/>
      <c r="C128" s="1146"/>
      <c r="D128" s="1146"/>
      <c r="E128" s="1146"/>
      <c r="F128" s="1146"/>
      <c r="G128" s="1146"/>
      <c r="H128" s="1198"/>
      <c r="I128" s="1198"/>
      <c r="J128" s="1146"/>
      <c r="K128" s="1198"/>
      <c r="L128" s="1198"/>
      <c r="M128" s="1146"/>
      <c r="N128" s="1146"/>
      <c r="O128" s="1146"/>
      <c r="P128" s="1146"/>
      <c r="Q128" s="1146"/>
      <c r="R128" s="1146"/>
      <c r="S128" s="1146"/>
      <c r="T128" s="1146"/>
    </row>
    <row r="129" spans="1:20">
      <c r="A129" s="1146"/>
      <c r="B129" s="1146"/>
      <c r="C129" s="1146"/>
      <c r="D129" s="1146"/>
      <c r="E129" s="1146"/>
      <c r="F129" s="1146"/>
      <c r="G129" s="1146"/>
      <c r="H129" s="1198"/>
      <c r="I129" s="1198"/>
      <c r="J129" s="1146"/>
      <c r="K129" s="1198"/>
      <c r="L129" s="1198"/>
      <c r="M129" s="1146"/>
      <c r="N129" s="1146"/>
      <c r="O129" s="1146"/>
      <c r="P129" s="1146"/>
      <c r="Q129" s="1146"/>
      <c r="R129" s="1146"/>
      <c r="S129" s="1146"/>
      <c r="T129" s="1146"/>
    </row>
    <row r="130" spans="1:20">
      <c r="A130" s="1146"/>
      <c r="B130" s="1146"/>
      <c r="C130" s="1146"/>
      <c r="D130" s="1146"/>
      <c r="E130" s="1146"/>
      <c r="F130" s="1146"/>
      <c r="G130" s="1146"/>
      <c r="H130" s="1198"/>
      <c r="I130" s="1198"/>
      <c r="J130" s="1146"/>
      <c r="K130" s="1198"/>
      <c r="L130" s="1198"/>
      <c r="M130" s="1146"/>
      <c r="N130" s="1146"/>
      <c r="O130" s="1146"/>
      <c r="P130" s="1146"/>
      <c r="Q130" s="1146"/>
      <c r="R130" s="1146"/>
      <c r="S130" s="1146"/>
      <c r="T130" s="1146"/>
    </row>
    <row r="131" spans="1:20">
      <c r="A131" s="1146"/>
      <c r="B131" s="1146"/>
      <c r="C131" s="1146"/>
      <c r="D131" s="1146"/>
      <c r="E131" s="1146"/>
      <c r="F131" s="1146"/>
      <c r="G131" s="1146"/>
      <c r="H131" s="1198"/>
      <c r="I131" s="1198"/>
      <c r="J131" s="1146"/>
      <c r="K131" s="1198"/>
      <c r="L131" s="1198"/>
      <c r="M131" s="1146"/>
      <c r="N131" s="1146"/>
      <c r="O131" s="1146"/>
      <c r="P131" s="1146"/>
      <c r="Q131" s="1146"/>
      <c r="R131" s="1146"/>
      <c r="S131" s="1146"/>
      <c r="T131" s="1146"/>
    </row>
    <row r="132" spans="1:20">
      <c r="A132" s="1146"/>
      <c r="B132" s="1146"/>
      <c r="C132" s="1146"/>
      <c r="D132" s="1146"/>
      <c r="E132" s="1146"/>
      <c r="F132" s="1146"/>
      <c r="G132" s="1146"/>
      <c r="H132" s="1198"/>
      <c r="I132" s="1198"/>
      <c r="J132" s="1146"/>
      <c r="K132" s="1198"/>
      <c r="L132" s="1198"/>
      <c r="M132" s="1146"/>
      <c r="N132" s="1146"/>
      <c r="O132" s="1146"/>
      <c r="P132" s="1146"/>
      <c r="Q132" s="1146"/>
      <c r="R132" s="1146"/>
      <c r="S132" s="1146"/>
      <c r="T132" s="1146"/>
    </row>
    <row r="133" spans="1:20">
      <c r="A133" s="1146"/>
      <c r="B133" s="1146"/>
      <c r="C133" s="1146"/>
      <c r="D133" s="1146"/>
      <c r="E133" s="1146"/>
      <c r="F133" s="1146"/>
      <c r="G133" s="1146"/>
      <c r="H133" s="1198"/>
      <c r="I133" s="1198"/>
      <c r="J133" s="1146"/>
      <c r="K133" s="1198"/>
      <c r="L133" s="1198"/>
      <c r="M133" s="1146"/>
      <c r="N133" s="1146"/>
      <c r="O133" s="1146"/>
      <c r="P133" s="1146"/>
      <c r="Q133" s="1146"/>
      <c r="R133" s="1146"/>
      <c r="S133" s="1146"/>
      <c r="T133" s="1146"/>
    </row>
    <row r="134" spans="1:20">
      <c r="A134" s="1146"/>
      <c r="B134" s="1146"/>
      <c r="C134" s="1146"/>
      <c r="D134" s="1146"/>
      <c r="E134" s="1146"/>
      <c r="F134" s="1146"/>
      <c r="G134" s="1146"/>
      <c r="H134" s="1198"/>
      <c r="I134" s="1198"/>
      <c r="J134" s="1146"/>
      <c r="K134" s="1198"/>
      <c r="L134" s="1198"/>
      <c r="M134" s="1146"/>
      <c r="N134" s="1146"/>
      <c r="O134" s="1146"/>
      <c r="P134" s="1146"/>
      <c r="Q134" s="1146"/>
      <c r="R134" s="1146"/>
      <c r="S134" s="1146"/>
      <c r="T134" s="1146"/>
    </row>
    <row r="135" spans="1:20">
      <c r="A135" s="1146"/>
      <c r="B135" s="1146"/>
      <c r="C135" s="1146"/>
      <c r="D135" s="1146"/>
      <c r="E135" s="1146"/>
      <c r="F135" s="1146"/>
      <c r="G135" s="1146"/>
      <c r="H135" s="1198"/>
      <c r="I135" s="1198"/>
      <c r="J135" s="1146"/>
      <c r="K135" s="1198"/>
      <c r="L135" s="1198"/>
      <c r="M135" s="1146"/>
      <c r="N135" s="1146"/>
      <c r="O135" s="1146"/>
      <c r="P135" s="1146"/>
      <c r="Q135" s="1146"/>
      <c r="R135" s="1146"/>
      <c r="S135" s="1146"/>
      <c r="T135" s="1146"/>
    </row>
    <row r="136" spans="1:20">
      <c r="A136" s="1146"/>
      <c r="B136" s="1146"/>
      <c r="C136" s="1146"/>
      <c r="D136" s="1146"/>
      <c r="E136" s="1146"/>
      <c r="F136" s="1146"/>
      <c r="G136" s="1146"/>
      <c r="H136" s="1198"/>
      <c r="I136" s="1198"/>
      <c r="J136" s="1146"/>
      <c r="K136" s="1198"/>
      <c r="L136" s="1198"/>
      <c r="M136" s="1146"/>
      <c r="N136" s="1146"/>
      <c r="O136" s="1146"/>
      <c r="P136" s="1146"/>
      <c r="Q136" s="1146"/>
      <c r="R136" s="1146"/>
      <c r="S136" s="1146"/>
      <c r="T136" s="1146"/>
    </row>
    <row r="137" spans="1:20">
      <c r="A137" s="1146"/>
      <c r="B137" s="1146"/>
      <c r="C137" s="1146"/>
      <c r="D137" s="1146"/>
      <c r="E137" s="1146"/>
      <c r="F137" s="1146"/>
      <c r="G137" s="1146"/>
      <c r="H137" s="1198"/>
      <c r="I137" s="1198"/>
      <c r="J137" s="1146"/>
      <c r="K137" s="1198"/>
      <c r="L137" s="1198"/>
      <c r="M137" s="1146"/>
      <c r="N137" s="1146"/>
      <c r="O137" s="1146"/>
      <c r="P137" s="1146"/>
      <c r="Q137" s="1146"/>
      <c r="R137" s="1146"/>
      <c r="S137" s="1146"/>
      <c r="T137" s="1146"/>
    </row>
    <row r="138" spans="1:20">
      <c r="A138" s="1146"/>
      <c r="B138" s="1146"/>
      <c r="C138" s="1146"/>
      <c r="D138" s="1146"/>
      <c r="E138" s="1146"/>
      <c r="F138" s="1146"/>
      <c r="G138" s="1146"/>
      <c r="H138" s="1198"/>
      <c r="I138" s="1198"/>
      <c r="J138" s="1146"/>
      <c r="K138" s="1198"/>
      <c r="L138" s="1198"/>
      <c r="M138" s="1146"/>
      <c r="N138" s="1146"/>
      <c r="O138" s="1146"/>
      <c r="P138" s="1146"/>
      <c r="Q138" s="1146"/>
      <c r="R138" s="1146"/>
      <c r="S138" s="1146"/>
      <c r="T138" s="1146"/>
    </row>
    <row r="139" spans="1:20">
      <c r="A139" s="1146"/>
      <c r="B139" s="1146"/>
      <c r="C139" s="1146"/>
      <c r="D139" s="1146"/>
      <c r="E139" s="1146"/>
      <c r="F139" s="1146"/>
      <c r="G139" s="1146"/>
      <c r="H139" s="1198"/>
      <c r="I139" s="1198"/>
      <c r="J139" s="1146"/>
      <c r="K139" s="1198"/>
      <c r="L139" s="1198"/>
      <c r="M139" s="1146"/>
      <c r="N139" s="1146"/>
      <c r="O139" s="1146"/>
      <c r="P139" s="1146"/>
      <c r="Q139" s="1146"/>
      <c r="R139" s="1146"/>
      <c r="S139" s="1146"/>
      <c r="T139" s="1146"/>
    </row>
  </sheetData>
  <mergeCells count="3">
    <mergeCell ref="A1:O1"/>
    <mergeCell ref="A3:O3"/>
    <mergeCell ref="C51:F51"/>
  </mergeCells>
  <pageMargins left="0.7" right="0.7" top="0.75" bottom="0.75" header="0.3" footer="0.3"/>
  <pageSetup paperSize="9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3:K94"/>
  <sheetViews>
    <sheetView topLeftCell="D1" workbookViewId="0">
      <selection activeCell="E13" sqref="E13"/>
    </sheetView>
  </sheetViews>
  <sheetFormatPr defaultRowHeight="15"/>
  <cols>
    <col min="2" max="2" width="6.5703125" customWidth="1"/>
    <col min="3" max="3" width="25.42578125" customWidth="1"/>
    <col min="4" max="4" width="23.85546875" customWidth="1"/>
    <col min="5" max="5" width="23.5703125" customWidth="1"/>
    <col min="6" max="6" width="23.7109375" customWidth="1"/>
    <col min="7" max="7" width="24.7109375" customWidth="1"/>
    <col min="8" max="8" width="29.140625" customWidth="1"/>
  </cols>
  <sheetData>
    <row r="3" spans="2:9">
      <c r="B3" s="401" t="s">
        <v>1604</v>
      </c>
      <c r="C3" s="401"/>
      <c r="D3" s="401"/>
      <c r="E3" s="401"/>
      <c r="F3" s="401"/>
      <c r="G3" s="401"/>
      <c r="H3" s="401"/>
      <c r="I3" s="401"/>
    </row>
    <row r="4" spans="2:9">
      <c r="B4" s="401"/>
      <c r="C4" s="401"/>
      <c r="D4" s="401"/>
      <c r="E4" s="401"/>
      <c r="F4" s="401"/>
      <c r="G4" s="689"/>
      <c r="H4" s="401"/>
      <c r="I4" s="401"/>
    </row>
    <row r="5" spans="2:9" ht="30">
      <c r="B5" s="401" t="s">
        <v>1003</v>
      </c>
      <c r="C5" s="401" t="s">
        <v>455</v>
      </c>
      <c r="D5" s="401" t="s">
        <v>1605</v>
      </c>
      <c r="E5" s="689" t="s">
        <v>1606</v>
      </c>
      <c r="F5" s="689" t="s">
        <v>1607</v>
      </c>
      <c r="G5" s="690" t="s">
        <v>1608</v>
      </c>
      <c r="H5" s="690" t="s">
        <v>1609</v>
      </c>
      <c r="I5" s="401" t="s">
        <v>1610</v>
      </c>
    </row>
    <row r="6" spans="2:9" ht="45">
      <c r="B6" s="401">
        <v>1</v>
      </c>
      <c r="C6" s="689" t="s">
        <v>1611</v>
      </c>
      <c r="D6" s="689" t="s">
        <v>1612</v>
      </c>
      <c r="E6" s="401">
        <v>1280</v>
      </c>
      <c r="F6" s="401">
        <v>148.13999999999999</v>
      </c>
      <c r="G6" s="401">
        <v>1131.8599999999999</v>
      </c>
      <c r="H6" s="401"/>
      <c r="I6" s="691" t="s">
        <v>1613</v>
      </c>
    </row>
    <row r="7" spans="2:9" ht="45">
      <c r="B7" s="401">
        <v>2</v>
      </c>
      <c r="C7" s="689" t="s">
        <v>1614</v>
      </c>
      <c r="D7" s="689" t="s">
        <v>1615</v>
      </c>
      <c r="E7" s="401">
        <v>1198</v>
      </c>
      <c r="F7" s="401">
        <v>659.71</v>
      </c>
      <c r="G7" s="401">
        <v>538.29</v>
      </c>
      <c r="H7" s="401"/>
      <c r="I7" s="401" t="s">
        <v>1616</v>
      </c>
    </row>
    <row r="8" spans="2:9" ht="45">
      <c r="B8" s="401">
        <v>3</v>
      </c>
      <c r="C8" s="689" t="s">
        <v>1617</v>
      </c>
      <c r="D8" s="689" t="s">
        <v>1618</v>
      </c>
      <c r="E8" s="401">
        <v>1280</v>
      </c>
      <c r="F8" s="401">
        <v>830.89</v>
      </c>
      <c r="G8" s="401">
        <v>449.11</v>
      </c>
      <c r="H8" s="401"/>
      <c r="I8" s="401" t="s">
        <v>1619</v>
      </c>
    </row>
    <row r="9" spans="2:9" ht="45">
      <c r="B9" s="401">
        <v>4</v>
      </c>
      <c r="C9" s="689" t="s">
        <v>1620</v>
      </c>
      <c r="D9" s="689" t="s">
        <v>1621</v>
      </c>
      <c r="E9" s="401">
        <v>1072.1099999999999</v>
      </c>
      <c r="F9" s="401">
        <v>654.79</v>
      </c>
      <c r="G9" s="401">
        <v>417.32</v>
      </c>
      <c r="H9" s="401"/>
      <c r="I9" s="401" t="s">
        <v>1619</v>
      </c>
    </row>
    <row r="10" spans="2:9" ht="30">
      <c r="B10" s="401">
        <v>5</v>
      </c>
      <c r="C10" s="689" t="s">
        <v>1622</v>
      </c>
      <c r="D10" s="689" t="s">
        <v>1623</v>
      </c>
      <c r="E10" s="401">
        <v>1074</v>
      </c>
      <c r="F10" s="401">
        <v>895.3</v>
      </c>
      <c r="G10" s="401">
        <v>178.7</v>
      </c>
      <c r="H10" s="401"/>
      <c r="I10" s="401" t="s">
        <v>1619</v>
      </c>
    </row>
    <row r="11" spans="2:9" ht="45">
      <c r="B11" s="401">
        <v>6</v>
      </c>
      <c r="C11" s="689" t="s">
        <v>1624</v>
      </c>
      <c r="D11" s="689" t="s">
        <v>1625</v>
      </c>
      <c r="E11" s="401">
        <v>1148</v>
      </c>
      <c r="F11" s="401"/>
      <c r="G11" s="401">
        <v>1148</v>
      </c>
      <c r="H11" s="401"/>
      <c r="I11" s="401" t="s">
        <v>1626</v>
      </c>
    </row>
    <row r="12" spans="2:9" ht="30">
      <c r="B12" s="401">
        <v>7</v>
      </c>
      <c r="C12" s="689" t="s">
        <v>1627</v>
      </c>
      <c r="D12" s="689" t="s">
        <v>1628</v>
      </c>
      <c r="E12" s="401">
        <v>1307</v>
      </c>
      <c r="F12" s="401">
        <v>1207.08</v>
      </c>
      <c r="G12" s="401">
        <v>99.92</v>
      </c>
      <c r="H12" s="401"/>
      <c r="I12" s="401" t="s">
        <v>1619</v>
      </c>
    </row>
    <row r="13" spans="2:9" ht="45">
      <c r="B13" s="401">
        <v>8</v>
      </c>
      <c r="C13" s="689" t="s">
        <v>1629</v>
      </c>
      <c r="D13" s="689" t="s">
        <v>1630</v>
      </c>
      <c r="E13" s="401">
        <v>1074</v>
      </c>
      <c r="F13" s="401">
        <v>1068.71</v>
      </c>
      <c r="G13" s="401">
        <v>5.29</v>
      </c>
      <c r="H13" s="401"/>
      <c r="I13" s="401" t="s">
        <v>1616</v>
      </c>
    </row>
    <row r="14" spans="2:9" ht="45">
      <c r="B14" s="401">
        <v>9</v>
      </c>
      <c r="C14" s="689" t="s">
        <v>1631</v>
      </c>
      <c r="D14" s="689" t="s">
        <v>1632</v>
      </c>
      <c r="E14" s="401">
        <v>868</v>
      </c>
      <c r="F14" s="401">
        <v>572.45000000000005</v>
      </c>
      <c r="G14" s="401">
        <v>295.55</v>
      </c>
      <c r="H14" s="401"/>
      <c r="I14" s="401" t="s">
        <v>1616</v>
      </c>
    </row>
    <row r="15" spans="2:9" ht="45">
      <c r="B15" s="401">
        <v>10</v>
      </c>
      <c r="C15" s="689" t="s">
        <v>1633</v>
      </c>
      <c r="D15" s="689" t="s">
        <v>1634</v>
      </c>
      <c r="E15" s="401">
        <v>886</v>
      </c>
      <c r="F15" s="401">
        <v>588.07000000000005</v>
      </c>
      <c r="G15" s="401">
        <v>297.93</v>
      </c>
      <c r="H15" s="401"/>
      <c r="I15" s="401" t="s">
        <v>1616</v>
      </c>
    </row>
    <row r="16" spans="2:9" ht="45">
      <c r="B16" s="401">
        <v>11</v>
      </c>
      <c r="C16" s="689" t="s">
        <v>1635</v>
      </c>
      <c r="D16" s="689" t="s">
        <v>1636</v>
      </c>
      <c r="E16" s="401">
        <v>1370</v>
      </c>
      <c r="F16" s="401">
        <v>672.92</v>
      </c>
      <c r="G16" s="401">
        <v>697.08</v>
      </c>
      <c r="H16" s="401"/>
      <c r="I16" s="401" t="s">
        <v>1616</v>
      </c>
    </row>
    <row r="17" spans="2:9" ht="30">
      <c r="B17" s="401">
        <v>12</v>
      </c>
      <c r="C17" s="689" t="s">
        <v>1637</v>
      </c>
      <c r="D17" s="689" t="s">
        <v>1638</v>
      </c>
      <c r="E17" s="401">
        <v>868</v>
      </c>
      <c r="F17" s="401">
        <v>568.15</v>
      </c>
      <c r="G17" s="401">
        <v>299.85000000000002</v>
      </c>
      <c r="H17" s="401"/>
      <c r="I17" s="401" t="s">
        <v>1639</v>
      </c>
    </row>
    <row r="18" spans="2:9" ht="45">
      <c r="B18" s="401">
        <v>18</v>
      </c>
      <c r="C18" s="689" t="s">
        <v>1640</v>
      </c>
      <c r="D18" s="689" t="s">
        <v>1641</v>
      </c>
      <c r="E18" s="401">
        <v>886</v>
      </c>
      <c r="F18" s="401">
        <v>514.39</v>
      </c>
      <c r="G18" s="401">
        <v>371.61</v>
      </c>
      <c r="H18" s="401"/>
      <c r="I18" s="401" t="s">
        <v>1642</v>
      </c>
    </row>
    <row r="19" spans="2:9" ht="45">
      <c r="B19" s="401">
        <v>19</v>
      </c>
      <c r="C19" s="689" t="s">
        <v>1643</v>
      </c>
      <c r="D19" s="689" t="s">
        <v>1644</v>
      </c>
      <c r="E19" s="401">
        <v>1327</v>
      </c>
      <c r="F19" s="401"/>
      <c r="G19" s="401">
        <v>1327</v>
      </c>
      <c r="H19" s="401"/>
      <c r="I19" s="401" t="s">
        <v>1626</v>
      </c>
    </row>
    <row r="20" spans="2:9" ht="60">
      <c r="B20" s="401">
        <v>20</v>
      </c>
      <c r="C20" s="689" t="s">
        <v>1645</v>
      </c>
      <c r="D20" s="689" t="s">
        <v>1646</v>
      </c>
      <c r="E20" s="401">
        <v>1327</v>
      </c>
      <c r="F20" s="401"/>
      <c r="G20" s="401">
        <v>1327</v>
      </c>
      <c r="H20" s="401"/>
      <c r="I20" s="401" t="s">
        <v>1647</v>
      </c>
    </row>
    <row r="21" spans="2:9" ht="60">
      <c r="B21" s="401">
        <v>22</v>
      </c>
      <c r="C21" s="689" t="s">
        <v>1648</v>
      </c>
      <c r="D21" s="689" t="s">
        <v>1649</v>
      </c>
      <c r="E21" s="401">
        <v>886</v>
      </c>
      <c r="F21" s="401">
        <v>25.67</v>
      </c>
      <c r="G21" s="401">
        <v>860.33</v>
      </c>
      <c r="H21" s="401"/>
      <c r="I21" s="401" t="s">
        <v>1626</v>
      </c>
    </row>
    <row r="22" spans="2:9" ht="45">
      <c r="B22" s="401">
        <v>23</v>
      </c>
      <c r="C22" s="689" t="s">
        <v>1650</v>
      </c>
      <c r="D22" s="689" t="s">
        <v>1651</v>
      </c>
      <c r="E22" s="401">
        <v>886</v>
      </c>
      <c r="F22" s="401"/>
      <c r="G22" s="401">
        <v>886</v>
      </c>
      <c r="H22" s="401"/>
      <c r="I22" s="401" t="s">
        <v>1626</v>
      </c>
    </row>
    <row r="23" spans="2:9" ht="45">
      <c r="B23" s="401">
        <v>24</v>
      </c>
      <c r="C23" s="689" t="s">
        <v>1652</v>
      </c>
      <c r="D23" s="689" t="s">
        <v>1653</v>
      </c>
      <c r="E23" s="401">
        <v>950</v>
      </c>
      <c r="F23" s="401">
        <v>620.65</v>
      </c>
      <c r="G23" s="401">
        <v>329.35</v>
      </c>
      <c r="H23" s="401"/>
      <c r="I23" s="401" t="s">
        <v>1654</v>
      </c>
    </row>
    <row r="24" spans="2:9" ht="45">
      <c r="B24" s="401">
        <v>25</v>
      </c>
      <c r="C24" s="689" t="s">
        <v>1655</v>
      </c>
      <c r="D24" s="689" t="s">
        <v>1656</v>
      </c>
      <c r="E24" s="401">
        <v>1072</v>
      </c>
      <c r="F24" s="401">
        <v>18.309999999999999</v>
      </c>
      <c r="G24" s="401">
        <v>1053.69</v>
      </c>
      <c r="H24" s="401"/>
      <c r="I24" s="401" t="s">
        <v>1626</v>
      </c>
    </row>
    <row r="25" spans="2:9" ht="45">
      <c r="B25" s="401">
        <v>26</v>
      </c>
      <c r="C25" s="689" t="s">
        <v>1657</v>
      </c>
      <c r="D25" s="689" t="s">
        <v>1658</v>
      </c>
      <c r="E25" s="401">
        <v>1072</v>
      </c>
      <c r="F25" s="401">
        <v>21.68</v>
      </c>
      <c r="G25" s="401">
        <v>1050.32</v>
      </c>
      <c r="H25" s="401"/>
      <c r="I25" s="401" t="s">
        <v>1659</v>
      </c>
    </row>
    <row r="26" spans="2:9" ht="45">
      <c r="B26" s="401">
        <v>27</v>
      </c>
      <c r="C26" s="689" t="s">
        <v>1660</v>
      </c>
      <c r="D26" s="689" t="s">
        <v>1661</v>
      </c>
      <c r="E26" s="401">
        <v>2182</v>
      </c>
      <c r="F26" s="401"/>
      <c r="G26" s="401">
        <v>2182</v>
      </c>
      <c r="H26" s="401"/>
      <c r="I26" s="401" t="s">
        <v>1626</v>
      </c>
    </row>
    <row r="27" spans="2:9" ht="45">
      <c r="B27" s="401">
        <v>28</v>
      </c>
      <c r="C27" s="689" t="s">
        <v>1662</v>
      </c>
      <c r="D27" s="689" t="s">
        <v>1663</v>
      </c>
      <c r="E27" s="401">
        <v>1244</v>
      </c>
      <c r="F27" s="401"/>
      <c r="G27" s="401">
        <v>1244</v>
      </c>
      <c r="H27" s="401"/>
      <c r="I27" s="401" t="s">
        <v>1626</v>
      </c>
    </row>
    <row r="28" spans="2:9" ht="45">
      <c r="B28" s="401">
        <v>29</v>
      </c>
      <c r="C28" s="689" t="s">
        <v>1664</v>
      </c>
      <c r="D28" s="689" t="s">
        <v>1665</v>
      </c>
      <c r="E28" s="401">
        <v>868</v>
      </c>
      <c r="F28" s="401">
        <v>621.9</v>
      </c>
      <c r="G28" s="401">
        <v>246.1</v>
      </c>
      <c r="H28" s="401"/>
      <c r="I28" s="401" t="s">
        <v>1626</v>
      </c>
    </row>
    <row r="29" spans="2:9" ht="30">
      <c r="B29" s="401">
        <v>30</v>
      </c>
      <c r="C29" s="689" t="s">
        <v>1666</v>
      </c>
      <c r="D29" s="689" t="s">
        <v>1667</v>
      </c>
      <c r="E29" s="401">
        <v>1370</v>
      </c>
      <c r="F29" s="401"/>
      <c r="G29" s="401">
        <v>1370</v>
      </c>
      <c r="H29" s="401"/>
      <c r="I29" s="401" t="s">
        <v>1668</v>
      </c>
    </row>
    <row r="30" spans="2:9" ht="75">
      <c r="B30" s="401">
        <v>31</v>
      </c>
      <c r="C30" s="689" t="s">
        <v>1669</v>
      </c>
      <c r="D30" s="689" t="s">
        <v>1670</v>
      </c>
      <c r="E30" s="401">
        <v>2061</v>
      </c>
      <c r="F30" s="401"/>
      <c r="G30" s="401">
        <v>2061</v>
      </c>
      <c r="H30" s="401"/>
      <c r="I30" s="401" t="s">
        <v>1668</v>
      </c>
    </row>
    <row r="31" spans="2:9" ht="45">
      <c r="B31" s="401">
        <v>32</v>
      </c>
      <c r="C31" s="689" t="s">
        <v>1671</v>
      </c>
      <c r="D31" s="689" t="s">
        <v>1672</v>
      </c>
      <c r="E31" s="401">
        <v>886</v>
      </c>
      <c r="F31" s="401">
        <v>593.87</v>
      </c>
      <c r="G31" s="401">
        <v>292.13</v>
      </c>
      <c r="H31" s="401"/>
      <c r="I31" s="401" t="s">
        <v>1668</v>
      </c>
    </row>
    <row r="32" spans="2:9" ht="45">
      <c r="B32" s="401">
        <v>33</v>
      </c>
      <c r="C32" s="689" t="s">
        <v>1673</v>
      </c>
      <c r="D32" s="689" t="s">
        <v>1674</v>
      </c>
      <c r="E32" s="401">
        <v>1100</v>
      </c>
      <c r="F32" s="401"/>
      <c r="G32" s="401">
        <v>1100</v>
      </c>
      <c r="H32" s="401"/>
      <c r="I32" s="401" t="s">
        <v>1668</v>
      </c>
    </row>
    <row r="33" spans="2:9" ht="45">
      <c r="B33" s="401">
        <v>34</v>
      </c>
      <c r="C33" s="689" t="s">
        <v>1675</v>
      </c>
      <c r="D33" s="689" t="s">
        <v>1676</v>
      </c>
      <c r="E33" s="401"/>
      <c r="F33" s="401"/>
      <c r="G33" s="401"/>
      <c r="H33" s="401"/>
      <c r="I33" s="401"/>
    </row>
    <row r="34" spans="2:9" ht="45">
      <c r="B34" s="401">
        <v>36</v>
      </c>
      <c r="C34" s="689" t="s">
        <v>691</v>
      </c>
      <c r="D34" s="689" t="s">
        <v>1677</v>
      </c>
      <c r="E34" s="401">
        <v>1072</v>
      </c>
      <c r="F34" s="401"/>
      <c r="G34" s="401">
        <v>1072</v>
      </c>
      <c r="H34" s="401"/>
      <c r="I34" s="401" t="s">
        <v>1668</v>
      </c>
    </row>
    <row r="35" spans="2:9" ht="30">
      <c r="B35" s="401">
        <v>37</v>
      </c>
      <c r="C35" s="689" t="s">
        <v>1678</v>
      </c>
      <c r="D35" s="689" t="s">
        <v>1679</v>
      </c>
      <c r="E35" s="401">
        <v>1072</v>
      </c>
      <c r="F35" s="401"/>
      <c r="G35" s="401"/>
      <c r="H35" s="401">
        <v>1072</v>
      </c>
      <c r="I35" s="401" t="s">
        <v>1680</v>
      </c>
    </row>
    <row r="36" spans="2:9" ht="45">
      <c r="B36" s="401">
        <v>38</v>
      </c>
      <c r="C36" s="689" t="s">
        <v>1681</v>
      </c>
      <c r="D36" s="689" t="s">
        <v>1682</v>
      </c>
      <c r="E36" s="401">
        <v>1072</v>
      </c>
      <c r="F36" s="401"/>
      <c r="G36" s="401">
        <v>1072</v>
      </c>
      <c r="H36" s="401"/>
      <c r="I36" s="401" t="s">
        <v>1668</v>
      </c>
    </row>
    <row r="37" spans="2:9" ht="45">
      <c r="B37" s="401">
        <v>39</v>
      </c>
      <c r="C37" s="689" t="s">
        <v>1683</v>
      </c>
      <c r="D37" s="689" t="s">
        <v>1684</v>
      </c>
      <c r="E37" s="401">
        <v>1072</v>
      </c>
      <c r="F37" s="401"/>
      <c r="G37" s="401">
        <v>1072</v>
      </c>
      <c r="H37" s="401"/>
      <c r="I37" s="401" t="s">
        <v>1668</v>
      </c>
    </row>
    <row r="38" spans="2:9" ht="45">
      <c r="B38" s="401">
        <v>40</v>
      </c>
      <c r="C38" s="689" t="s">
        <v>1685</v>
      </c>
      <c r="D38" s="689" t="s">
        <v>1686</v>
      </c>
      <c r="E38" s="401">
        <v>886</v>
      </c>
      <c r="F38" s="401"/>
      <c r="G38" s="401">
        <v>886</v>
      </c>
      <c r="H38" s="401"/>
      <c r="I38" s="401" t="s">
        <v>1687</v>
      </c>
    </row>
    <row r="39" spans="2:9" ht="60">
      <c r="B39" s="401">
        <v>41</v>
      </c>
      <c r="C39" s="689" t="s">
        <v>1688</v>
      </c>
      <c r="D39" s="689" t="s">
        <v>1689</v>
      </c>
      <c r="E39" s="401">
        <v>201</v>
      </c>
      <c r="F39" s="401">
        <v>125.36</v>
      </c>
      <c r="G39" s="401">
        <v>75.64</v>
      </c>
      <c r="H39" s="401"/>
      <c r="I39" s="401" t="s">
        <v>1687</v>
      </c>
    </row>
    <row r="40" spans="2:9" ht="45">
      <c r="B40" s="401">
        <v>42</v>
      </c>
      <c r="C40" s="689" t="s">
        <v>1690</v>
      </c>
      <c r="D40" s="689" t="s">
        <v>1691</v>
      </c>
      <c r="E40" s="401">
        <v>785.36</v>
      </c>
      <c r="F40" s="401">
        <v>674.37</v>
      </c>
      <c r="G40" s="401">
        <v>110.99</v>
      </c>
      <c r="H40" s="401"/>
      <c r="I40" s="401" t="s">
        <v>1626</v>
      </c>
    </row>
    <row r="41" spans="2:9" ht="30">
      <c r="B41" s="401">
        <v>43</v>
      </c>
      <c r="C41" s="689" t="s">
        <v>1692</v>
      </c>
      <c r="D41" s="689" t="s">
        <v>1693</v>
      </c>
      <c r="E41" s="401">
        <v>1072</v>
      </c>
      <c r="F41" s="401"/>
      <c r="G41" s="401">
        <v>1072</v>
      </c>
      <c r="H41" s="401"/>
      <c r="I41" s="401" t="s">
        <v>1668</v>
      </c>
    </row>
    <row r="42" spans="2:9" ht="45">
      <c r="B42" s="401">
        <v>44</v>
      </c>
      <c r="C42" s="689" t="s">
        <v>1694</v>
      </c>
      <c r="D42" s="689" t="s">
        <v>1695</v>
      </c>
      <c r="E42" s="401">
        <v>1100</v>
      </c>
      <c r="F42" s="401"/>
      <c r="G42" s="401"/>
      <c r="H42" s="401">
        <v>1100</v>
      </c>
      <c r="I42" s="401" t="s">
        <v>1696</v>
      </c>
    </row>
    <row r="43" spans="2:9" ht="30">
      <c r="B43" s="401">
        <v>45</v>
      </c>
      <c r="C43" s="689" t="s">
        <v>1697</v>
      </c>
      <c r="D43" s="689" t="s">
        <v>1698</v>
      </c>
      <c r="E43" s="401">
        <v>1072</v>
      </c>
      <c r="F43" s="401"/>
      <c r="G43" s="401">
        <v>1072</v>
      </c>
      <c r="H43" s="401"/>
      <c r="I43" s="401" t="s">
        <v>1668</v>
      </c>
    </row>
    <row r="44" spans="2:9" ht="30">
      <c r="B44" s="401">
        <v>46</v>
      </c>
      <c r="C44" s="689" t="s">
        <v>1699</v>
      </c>
      <c r="D44" s="689" t="s">
        <v>1700</v>
      </c>
      <c r="E44" s="401">
        <v>1072</v>
      </c>
      <c r="F44" s="401"/>
      <c r="G44" s="401">
        <v>1072</v>
      </c>
      <c r="H44" s="401"/>
      <c r="I44" s="401" t="s">
        <v>1668</v>
      </c>
    </row>
    <row r="45" spans="2:9" ht="30">
      <c r="B45" s="401">
        <v>47</v>
      </c>
      <c r="C45" s="689" t="s">
        <v>1701</v>
      </c>
      <c r="D45" s="689" t="s">
        <v>1702</v>
      </c>
      <c r="E45" s="401">
        <v>1072</v>
      </c>
      <c r="F45" s="401"/>
      <c r="G45" s="401">
        <v>1072</v>
      </c>
      <c r="H45" s="401"/>
      <c r="I45" s="401" t="s">
        <v>1668</v>
      </c>
    </row>
    <row r="46" spans="2:9" ht="30">
      <c r="B46" s="401">
        <v>48</v>
      </c>
      <c r="C46" s="689" t="s">
        <v>1703</v>
      </c>
      <c r="D46" s="689" t="s">
        <v>1704</v>
      </c>
      <c r="E46" s="401">
        <v>886</v>
      </c>
      <c r="F46" s="401"/>
      <c r="G46" s="401">
        <v>886</v>
      </c>
      <c r="H46" s="401"/>
      <c r="I46" s="401" t="s">
        <v>1668</v>
      </c>
    </row>
    <row r="47" spans="2:9" ht="45">
      <c r="B47" s="401">
        <v>49</v>
      </c>
      <c r="C47" s="689" t="s">
        <v>1705</v>
      </c>
      <c r="D47" s="689" t="s">
        <v>1706</v>
      </c>
      <c r="E47" s="401">
        <v>886</v>
      </c>
      <c r="F47" s="401"/>
      <c r="G47" s="401">
        <v>886</v>
      </c>
      <c r="H47" s="401"/>
      <c r="I47" s="401" t="s">
        <v>1668</v>
      </c>
    </row>
    <row r="48" spans="2:9" ht="45">
      <c r="B48" s="401">
        <v>50</v>
      </c>
      <c r="C48" s="689" t="s">
        <v>1707</v>
      </c>
      <c r="D48" s="689" t="s">
        <v>1708</v>
      </c>
      <c r="E48" s="401">
        <v>886</v>
      </c>
      <c r="F48" s="401"/>
      <c r="G48" s="401"/>
      <c r="H48" s="401">
        <v>886</v>
      </c>
      <c r="I48" s="401" t="s">
        <v>1709</v>
      </c>
    </row>
    <row r="49" spans="2:11" ht="45">
      <c r="B49" s="401">
        <v>51</v>
      </c>
      <c r="C49" s="689" t="s">
        <v>1710</v>
      </c>
      <c r="D49" s="689" t="s">
        <v>1711</v>
      </c>
      <c r="E49" s="401">
        <v>886</v>
      </c>
      <c r="F49" s="401"/>
      <c r="G49" s="401"/>
      <c r="H49" s="401">
        <v>886</v>
      </c>
      <c r="I49" s="401" t="s">
        <v>1696</v>
      </c>
    </row>
    <row r="50" spans="2:11" ht="45">
      <c r="B50" s="401">
        <v>52</v>
      </c>
      <c r="C50" s="689" t="s">
        <v>1712</v>
      </c>
      <c r="D50" s="689" t="s">
        <v>1713</v>
      </c>
      <c r="E50" s="401">
        <v>1072</v>
      </c>
      <c r="F50" s="401"/>
      <c r="G50" s="401"/>
      <c r="H50" s="401">
        <v>1072</v>
      </c>
      <c r="I50" s="401" t="s">
        <v>1714</v>
      </c>
    </row>
    <row r="51" spans="2:11" ht="45">
      <c r="B51" s="401">
        <v>53</v>
      </c>
      <c r="C51" s="689" t="s">
        <v>1712</v>
      </c>
      <c r="D51" s="689" t="s">
        <v>1715</v>
      </c>
      <c r="E51" s="401">
        <v>1100</v>
      </c>
      <c r="F51" s="401"/>
      <c r="G51" s="401"/>
      <c r="H51" s="401">
        <v>1100</v>
      </c>
      <c r="I51" s="401" t="s">
        <v>1709</v>
      </c>
    </row>
    <row r="52" spans="2:11" ht="45">
      <c r="B52" s="401">
        <v>54</v>
      </c>
      <c r="C52" s="689" t="s">
        <v>1716</v>
      </c>
      <c r="D52" s="689" t="s">
        <v>1717</v>
      </c>
      <c r="E52" s="401">
        <v>886</v>
      </c>
      <c r="F52" s="401"/>
      <c r="G52" s="401"/>
      <c r="H52" s="401">
        <v>886</v>
      </c>
      <c r="I52" s="401" t="s">
        <v>1714</v>
      </c>
    </row>
    <row r="53" spans="2:11">
      <c r="E53">
        <f>SUM(E6:E52)</f>
        <v>49692.47</v>
      </c>
      <c r="F53">
        <f>SUM(F6:F52)</f>
        <v>11082.41</v>
      </c>
      <c r="G53">
        <f>SUM(G6:G52)</f>
        <v>31608.06</v>
      </c>
      <c r="H53">
        <f>SUM(H6:H52)</f>
        <v>7002</v>
      </c>
    </row>
    <row r="55" spans="2:11">
      <c r="B55" s="401" t="s">
        <v>1718</v>
      </c>
      <c r="C55" s="401"/>
      <c r="D55" s="401"/>
      <c r="E55" s="401"/>
      <c r="F55" s="401"/>
      <c r="G55" s="401"/>
      <c r="H55" s="401"/>
      <c r="I55" s="401"/>
      <c r="J55" s="401"/>
    </row>
    <row r="56" spans="2:11">
      <c r="B56" s="401"/>
      <c r="C56" s="401"/>
      <c r="D56" s="401"/>
      <c r="E56" s="401"/>
      <c r="F56" s="401"/>
      <c r="G56" s="401"/>
      <c r="H56" s="401"/>
      <c r="I56" s="401"/>
      <c r="J56" s="401"/>
    </row>
    <row r="57" spans="2:11" ht="45">
      <c r="B57" s="690" t="s">
        <v>1003</v>
      </c>
      <c r="C57" s="690" t="s">
        <v>455</v>
      </c>
      <c r="D57" s="690" t="s">
        <v>1605</v>
      </c>
      <c r="E57" s="690" t="s">
        <v>1606</v>
      </c>
      <c r="F57" s="690" t="s">
        <v>1607</v>
      </c>
      <c r="G57" s="690" t="s">
        <v>1608</v>
      </c>
      <c r="H57" s="690" t="s">
        <v>1609</v>
      </c>
      <c r="I57" s="690" t="s">
        <v>1610</v>
      </c>
      <c r="J57" s="401"/>
    </row>
    <row r="58" spans="2:11" ht="45">
      <c r="B58" s="692">
        <v>1</v>
      </c>
      <c r="C58" s="401" t="s">
        <v>1719</v>
      </c>
      <c r="D58" s="690" t="s">
        <v>1720</v>
      </c>
      <c r="E58" s="401">
        <v>336</v>
      </c>
      <c r="F58" s="401">
        <v>35.229999999999997</v>
      </c>
      <c r="G58" s="401">
        <v>300.77</v>
      </c>
      <c r="H58" s="401"/>
      <c r="I58" s="401" t="s">
        <v>1626</v>
      </c>
      <c r="J58" s="401"/>
      <c r="K58">
        <f>E58-SUM(F58:H58)</f>
        <v>0</v>
      </c>
    </row>
    <row r="59" spans="2:11" ht="60">
      <c r="B59" s="692">
        <v>2</v>
      </c>
      <c r="C59" s="401" t="s">
        <v>1721</v>
      </c>
      <c r="D59" s="690" t="s">
        <v>1722</v>
      </c>
      <c r="E59" s="401">
        <v>243</v>
      </c>
      <c r="F59" s="401">
        <v>16.75</v>
      </c>
      <c r="G59" s="401">
        <v>226.25</v>
      </c>
      <c r="H59" s="401"/>
      <c r="I59" s="401" t="s">
        <v>1626</v>
      </c>
      <c r="J59" s="401"/>
      <c r="K59">
        <f t="shared" ref="K59:K70" si="0">E59-SUM(F59:H59)</f>
        <v>0</v>
      </c>
    </row>
    <row r="60" spans="2:11" ht="45">
      <c r="B60" s="692">
        <v>3</v>
      </c>
      <c r="C60" s="401" t="s">
        <v>1723</v>
      </c>
      <c r="D60" s="690" t="s">
        <v>1724</v>
      </c>
      <c r="E60" s="694">
        <v>186</v>
      </c>
      <c r="F60" s="695">
        <v>5.16</v>
      </c>
      <c r="G60" s="695">
        <v>179.84</v>
      </c>
      <c r="H60" s="401"/>
      <c r="I60" s="401"/>
      <c r="J60" s="401"/>
      <c r="K60" s="345">
        <f t="shared" si="0"/>
        <v>1</v>
      </c>
    </row>
    <row r="61" spans="2:11" ht="75">
      <c r="B61" s="692">
        <v>4</v>
      </c>
      <c r="C61" s="690" t="s">
        <v>1725</v>
      </c>
      <c r="D61" s="690" t="s">
        <v>1726</v>
      </c>
      <c r="E61" s="401">
        <v>336</v>
      </c>
      <c r="F61" s="401">
        <v>317.5</v>
      </c>
      <c r="G61" s="401">
        <v>18.5</v>
      </c>
      <c r="H61" s="401"/>
      <c r="I61" s="401" t="s">
        <v>1727</v>
      </c>
      <c r="J61" s="401"/>
      <c r="K61">
        <f t="shared" si="0"/>
        <v>0</v>
      </c>
    </row>
    <row r="62" spans="2:11" ht="45">
      <c r="B62" s="692">
        <v>5</v>
      </c>
      <c r="C62" s="690" t="s">
        <v>1728</v>
      </c>
      <c r="D62" s="690" t="s">
        <v>1729</v>
      </c>
      <c r="E62" s="401">
        <v>400</v>
      </c>
      <c r="F62" s="696">
        <v>49.69</v>
      </c>
      <c r="G62" s="696">
        <v>350.35</v>
      </c>
      <c r="H62" s="401"/>
      <c r="I62" s="401" t="s">
        <v>1730</v>
      </c>
      <c r="J62" s="401"/>
      <c r="K62">
        <f t="shared" si="0"/>
        <v>-4.0000000000020464E-2</v>
      </c>
    </row>
    <row r="63" spans="2:11" ht="90">
      <c r="B63" s="692">
        <v>6</v>
      </c>
      <c r="C63" s="401" t="s">
        <v>488</v>
      </c>
      <c r="D63" s="690" t="s">
        <v>1731</v>
      </c>
      <c r="E63" s="401">
        <v>385</v>
      </c>
      <c r="F63" s="401"/>
      <c r="G63" s="401">
        <v>385</v>
      </c>
      <c r="H63" s="401"/>
      <c r="I63" s="401"/>
      <c r="J63" s="401"/>
      <c r="K63">
        <f t="shared" si="0"/>
        <v>0</v>
      </c>
    </row>
    <row r="64" spans="2:11" ht="45">
      <c r="B64" s="692">
        <v>7</v>
      </c>
      <c r="C64" s="690" t="s">
        <v>1732</v>
      </c>
      <c r="D64" s="690" t="s">
        <v>1733</v>
      </c>
      <c r="E64" s="401">
        <v>185</v>
      </c>
      <c r="F64" s="401">
        <v>51.48</v>
      </c>
      <c r="G64" s="401">
        <v>133.52000000000001</v>
      </c>
      <c r="H64" s="401"/>
      <c r="I64" s="401" t="s">
        <v>1626</v>
      </c>
      <c r="J64" s="401"/>
      <c r="K64">
        <f t="shared" si="0"/>
        <v>0</v>
      </c>
    </row>
    <row r="65" spans="2:11" ht="75">
      <c r="B65" s="692">
        <v>8</v>
      </c>
      <c r="C65" s="690" t="s">
        <v>1734</v>
      </c>
      <c r="D65" s="690" t="s">
        <v>1735</v>
      </c>
      <c r="E65" s="401">
        <v>500</v>
      </c>
      <c r="F65" s="401">
        <v>0.14000000000000001</v>
      </c>
      <c r="G65" s="401">
        <v>499.86</v>
      </c>
      <c r="H65" s="401"/>
      <c r="I65" s="401" t="s">
        <v>1659</v>
      </c>
      <c r="J65" s="401"/>
      <c r="K65">
        <f t="shared" si="0"/>
        <v>0</v>
      </c>
    </row>
    <row r="66" spans="2:11" ht="45">
      <c r="B66" s="692">
        <v>9</v>
      </c>
      <c r="C66" s="690" t="s">
        <v>1736</v>
      </c>
      <c r="D66" s="690" t="s">
        <v>1737</v>
      </c>
      <c r="E66" s="401">
        <v>243</v>
      </c>
      <c r="F66" s="401"/>
      <c r="G66" s="401">
        <v>243</v>
      </c>
      <c r="H66" s="401"/>
      <c r="I66" s="401" t="s">
        <v>1738</v>
      </c>
      <c r="J66" s="401"/>
      <c r="K66">
        <f t="shared" si="0"/>
        <v>0</v>
      </c>
    </row>
    <row r="67" spans="2:11" ht="45">
      <c r="B67" s="692">
        <v>10</v>
      </c>
      <c r="C67" s="690" t="s">
        <v>1739</v>
      </c>
      <c r="D67" s="690" t="s">
        <v>1740</v>
      </c>
      <c r="E67" s="401">
        <v>243</v>
      </c>
      <c r="F67" s="401">
        <v>173.99</v>
      </c>
      <c r="G67" s="401">
        <v>69.010000000000005</v>
      </c>
      <c r="H67" s="401"/>
      <c r="I67" s="401" t="s">
        <v>1741</v>
      </c>
      <c r="J67" s="401"/>
      <c r="K67">
        <f t="shared" si="0"/>
        <v>0</v>
      </c>
    </row>
    <row r="68" spans="2:11" ht="45">
      <c r="B68" s="692">
        <v>11</v>
      </c>
      <c r="C68" s="690" t="s">
        <v>1742</v>
      </c>
      <c r="D68" s="690" t="s">
        <v>1743</v>
      </c>
      <c r="E68" s="401">
        <v>243</v>
      </c>
      <c r="F68" s="401"/>
      <c r="G68" s="401">
        <v>243</v>
      </c>
      <c r="H68" s="401"/>
      <c r="I68" s="401" t="s">
        <v>1744</v>
      </c>
      <c r="J68" s="401"/>
      <c r="K68">
        <f t="shared" si="0"/>
        <v>0</v>
      </c>
    </row>
    <row r="69" spans="2:11" ht="30">
      <c r="B69" s="692">
        <v>12</v>
      </c>
      <c r="C69" s="690" t="s">
        <v>966</v>
      </c>
      <c r="D69" s="690" t="s">
        <v>1745</v>
      </c>
      <c r="E69" s="401">
        <v>336</v>
      </c>
      <c r="F69" s="401"/>
      <c r="G69" s="401">
        <v>336</v>
      </c>
      <c r="H69" s="401"/>
      <c r="I69" s="401"/>
      <c r="J69" s="401"/>
      <c r="K69">
        <f t="shared" si="0"/>
        <v>0</v>
      </c>
    </row>
    <row r="70" spans="2:11">
      <c r="B70" s="401"/>
      <c r="C70" s="401"/>
      <c r="D70" s="401"/>
      <c r="E70" s="694">
        <f>SUM(E58:E69)</f>
        <v>3636</v>
      </c>
      <c r="F70" s="401">
        <f>SUM(F58:F69)</f>
        <v>649.94000000000005</v>
      </c>
      <c r="G70" s="401">
        <f>SUM(G58:G69)</f>
        <v>2985.1000000000004</v>
      </c>
      <c r="H70" s="401">
        <f>SUM(H58:H69)</f>
        <v>0</v>
      </c>
      <c r="I70" s="401"/>
      <c r="J70" s="401"/>
      <c r="K70">
        <f t="shared" si="0"/>
        <v>0.95999999999958163</v>
      </c>
    </row>
    <row r="71" spans="2:11">
      <c r="B71" s="401"/>
      <c r="C71" s="401"/>
      <c r="D71" s="401"/>
      <c r="E71" s="401"/>
      <c r="F71" s="401"/>
      <c r="G71" s="401"/>
      <c r="H71" s="401"/>
      <c r="I71" s="401"/>
      <c r="J71" s="401"/>
    </row>
    <row r="72" spans="2:11">
      <c r="B72" s="401" t="s">
        <v>1746</v>
      </c>
      <c r="C72" s="401"/>
      <c r="D72" s="401"/>
      <c r="E72" s="401"/>
      <c r="F72" s="401"/>
      <c r="G72" s="401"/>
      <c r="H72" s="401"/>
      <c r="I72" s="401"/>
    </row>
    <row r="73" spans="2:11">
      <c r="B73" s="401"/>
      <c r="C73" s="401"/>
      <c r="D73" s="401"/>
      <c r="E73" s="401"/>
      <c r="F73" s="401"/>
      <c r="G73" s="401"/>
      <c r="H73" s="401"/>
      <c r="I73" s="401"/>
    </row>
    <row r="74" spans="2:11" ht="45">
      <c r="B74" s="690" t="s">
        <v>1003</v>
      </c>
      <c r="C74" s="690" t="s">
        <v>455</v>
      </c>
      <c r="D74" s="690" t="s">
        <v>1605</v>
      </c>
      <c r="E74" s="690" t="s">
        <v>1606</v>
      </c>
      <c r="F74" s="690" t="s">
        <v>1607</v>
      </c>
      <c r="G74" s="690" t="s">
        <v>1608</v>
      </c>
      <c r="H74" s="690" t="s">
        <v>1609</v>
      </c>
      <c r="I74" s="690" t="s">
        <v>1610</v>
      </c>
    </row>
    <row r="75" spans="2:11">
      <c r="B75" s="401">
        <v>1</v>
      </c>
      <c r="C75" s="401" t="s">
        <v>1747</v>
      </c>
      <c r="D75" s="401"/>
      <c r="E75" s="401">
        <v>88</v>
      </c>
      <c r="F75" s="401"/>
      <c r="G75" s="401">
        <v>65</v>
      </c>
      <c r="H75" s="401">
        <v>23</v>
      </c>
      <c r="I75" s="693">
        <v>41426</v>
      </c>
    </row>
    <row r="76" spans="2:11">
      <c r="B76" s="401"/>
      <c r="C76" s="401"/>
      <c r="D76" s="401"/>
      <c r="E76" s="401"/>
      <c r="F76" s="401"/>
      <c r="G76" s="401"/>
      <c r="H76" s="401"/>
      <c r="I76" s="401"/>
    </row>
    <row r="77" spans="2:11">
      <c r="B77" s="401"/>
      <c r="C77" s="401"/>
      <c r="D77" s="401"/>
      <c r="E77" s="401"/>
      <c r="F77" s="401"/>
      <c r="G77" s="401"/>
      <c r="H77" s="401"/>
      <c r="I77" s="401"/>
    </row>
    <row r="79" spans="2:11">
      <c r="B79" t="s">
        <v>1941</v>
      </c>
    </row>
    <row r="81" spans="2:6">
      <c r="B81" s="291" t="s">
        <v>1003</v>
      </c>
      <c r="C81" s="543" t="s">
        <v>331</v>
      </c>
      <c r="D81" s="291" t="s">
        <v>425</v>
      </c>
      <c r="E81" s="291" t="s">
        <v>1751</v>
      </c>
      <c r="F81" s="291" t="s">
        <v>1752</v>
      </c>
    </row>
    <row r="82" spans="2:6">
      <c r="B82" s="288">
        <v>1</v>
      </c>
      <c r="C82" s="289" t="s">
        <v>1749</v>
      </c>
      <c r="D82" s="288">
        <f>SUM(F6:F52)</f>
        <v>11082.41</v>
      </c>
      <c r="E82" s="288">
        <f>SUM(G6:G52)</f>
        <v>31608.06</v>
      </c>
      <c r="F82" s="288">
        <f>SUM(H6:H52)</f>
        <v>7002</v>
      </c>
    </row>
    <row r="83" spans="2:6">
      <c r="B83" s="288">
        <v>2</v>
      </c>
      <c r="C83" s="289" t="s">
        <v>1748</v>
      </c>
      <c r="D83" s="288">
        <f>SUM(F58:F69)</f>
        <v>649.94000000000005</v>
      </c>
      <c r="E83" s="288">
        <f>SUM(G58:G69)</f>
        <v>2985.1000000000004</v>
      </c>
      <c r="F83" s="288">
        <f>SUM(H58:H69)</f>
        <v>0</v>
      </c>
    </row>
    <row r="84" spans="2:6">
      <c r="B84" s="288">
        <v>3</v>
      </c>
      <c r="C84" s="289" t="s">
        <v>1753</v>
      </c>
      <c r="D84" s="288">
        <f>F75</f>
        <v>0</v>
      </c>
      <c r="E84" s="288">
        <f>G75</f>
        <v>65</v>
      </c>
      <c r="F84" s="288">
        <f>H75</f>
        <v>23</v>
      </c>
    </row>
    <row r="85" spans="2:6">
      <c r="B85" s="288">
        <v>4</v>
      </c>
      <c r="C85" s="510" t="s">
        <v>287</v>
      </c>
      <c r="D85" s="330">
        <f>SUM(D82:D84)</f>
        <v>11732.35</v>
      </c>
      <c r="E85" s="330">
        <f>SUM(E82:E84)</f>
        <v>34658.160000000003</v>
      </c>
      <c r="F85" s="330">
        <f>SUM(F82:F84)</f>
        <v>7025</v>
      </c>
    </row>
    <row r="88" spans="2:6">
      <c r="B88" s="291" t="s">
        <v>1003</v>
      </c>
      <c r="C88" s="543" t="s">
        <v>331</v>
      </c>
      <c r="D88" s="291" t="s">
        <v>425</v>
      </c>
      <c r="E88" s="291" t="s">
        <v>1751</v>
      </c>
      <c r="F88" s="291" t="s">
        <v>1752</v>
      </c>
    </row>
    <row r="89" spans="2:6">
      <c r="B89" s="288">
        <v>1</v>
      </c>
      <c r="C89" s="289" t="s">
        <v>1749</v>
      </c>
      <c r="D89" s="288">
        <f>0</f>
        <v>0</v>
      </c>
      <c r="E89" s="288">
        <f>SUM(E6:E34)+SUM(E36:E41)+SUM(E43:E47)</f>
        <v>42690.47</v>
      </c>
      <c r="F89" s="288">
        <f>SUM(E35,E42,E48:E52)</f>
        <v>7002</v>
      </c>
    </row>
    <row r="90" spans="2:6">
      <c r="B90" s="288">
        <v>2</v>
      </c>
      <c r="C90" s="289" t="s">
        <v>1748</v>
      </c>
      <c r="D90" s="288">
        <f>0</f>
        <v>0</v>
      </c>
      <c r="E90" s="288">
        <f>SUM(E58:E69)</f>
        <v>3636</v>
      </c>
      <c r="F90" s="288">
        <v>0</v>
      </c>
    </row>
    <row r="91" spans="2:6">
      <c r="B91" s="288">
        <v>3</v>
      </c>
      <c r="C91" s="289" t="s">
        <v>1753</v>
      </c>
      <c r="D91" s="288">
        <v>0</v>
      </c>
      <c r="E91" s="288">
        <v>0</v>
      </c>
      <c r="F91" s="288">
        <v>0</v>
      </c>
    </row>
    <row r="92" spans="2:6">
      <c r="B92" s="288">
        <v>4</v>
      </c>
      <c r="C92" s="510" t="s">
        <v>287</v>
      </c>
      <c r="D92" s="330">
        <f>SUM(D89:D90)</f>
        <v>0</v>
      </c>
      <c r="E92" s="330">
        <f>SUM(E89:E90)</f>
        <v>46326.47</v>
      </c>
      <c r="F92" s="330">
        <f>SUM(F89:F90)</f>
        <v>7002</v>
      </c>
    </row>
    <row r="94" spans="2:6">
      <c r="B94" t="s">
        <v>1758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F2" sqref="F2"/>
    </sheetView>
  </sheetViews>
  <sheetFormatPr defaultRowHeight="15"/>
  <cols>
    <col min="1" max="2" width="9.140625" style="626"/>
    <col min="3" max="3" width="14.28515625" style="626" customWidth="1"/>
    <col min="4" max="6" width="9.140625" style="626"/>
    <col min="7" max="7" width="9.85546875" style="626" customWidth="1"/>
    <col min="8" max="8" width="9.140625" style="626"/>
    <col min="9" max="9" width="10.5703125" style="626" customWidth="1"/>
    <col min="10" max="16384" width="9.140625" style="626"/>
  </cols>
  <sheetData>
    <row r="1" spans="1:9">
      <c r="A1" s="2662" t="s">
        <v>1421</v>
      </c>
      <c r="B1" s="2662"/>
      <c r="C1" s="2662"/>
      <c r="D1" s="2662"/>
      <c r="E1" s="2662"/>
      <c r="F1" s="2662"/>
      <c r="G1" s="2662"/>
      <c r="H1" s="625"/>
      <c r="I1" s="625"/>
    </row>
    <row r="2" spans="1:9" ht="63.75">
      <c r="A2" s="627" t="s">
        <v>1422</v>
      </c>
      <c r="B2" s="628" t="s">
        <v>1423</v>
      </c>
      <c r="C2" s="629" t="s">
        <v>1424</v>
      </c>
      <c r="D2" s="629" t="s">
        <v>1425</v>
      </c>
      <c r="E2" s="629" t="s">
        <v>1426</v>
      </c>
      <c r="F2" s="630" t="s">
        <v>1427</v>
      </c>
      <c r="G2" s="631" t="s">
        <v>1428</v>
      </c>
      <c r="H2" s="631" t="s">
        <v>1429</v>
      </c>
      <c r="I2" s="631" t="s">
        <v>1430</v>
      </c>
    </row>
    <row r="3" spans="1:9" ht="33" customHeight="1">
      <c r="A3" s="632">
        <v>1</v>
      </c>
      <c r="B3" s="633" t="s">
        <v>103</v>
      </c>
      <c r="C3" s="634">
        <v>4680.0349999999999</v>
      </c>
      <c r="D3" s="632">
        <v>342.51600000000002</v>
      </c>
      <c r="E3" s="634">
        <f>C3+D3</f>
        <v>5022.5509999999995</v>
      </c>
      <c r="F3" s="635">
        <v>30.29</v>
      </c>
      <c r="G3" s="636">
        <v>72.308000000000007</v>
      </c>
      <c r="H3" s="637">
        <v>450</v>
      </c>
      <c r="I3" s="625"/>
    </row>
    <row r="4" spans="1:9" ht="33.75" customHeight="1">
      <c r="A4" s="632">
        <v>2</v>
      </c>
      <c r="B4" s="633" t="s">
        <v>431</v>
      </c>
      <c r="C4" s="634">
        <v>3139.09</v>
      </c>
      <c r="D4" s="632">
        <v>30.966999999999999</v>
      </c>
      <c r="E4" s="634">
        <f>C4+D4</f>
        <v>3170.0570000000002</v>
      </c>
      <c r="F4" s="637">
        <v>22.847999999999999</v>
      </c>
      <c r="G4" s="636">
        <v>22.847999999999999</v>
      </c>
      <c r="H4" s="637">
        <v>20</v>
      </c>
      <c r="I4" s="625"/>
    </row>
    <row r="5" spans="1:9" ht="32.25" customHeight="1">
      <c r="A5" s="632"/>
      <c r="B5" s="634" t="s">
        <v>1431</v>
      </c>
      <c r="C5" s="634">
        <f t="shared" ref="C5:H5" si="0">SUM(C3:C4)</f>
        <v>7819.125</v>
      </c>
      <c r="D5" s="634">
        <f t="shared" si="0"/>
        <v>373.483</v>
      </c>
      <c r="E5" s="634">
        <f t="shared" si="0"/>
        <v>8192.6080000000002</v>
      </c>
      <c r="F5" s="638">
        <f t="shared" si="0"/>
        <v>53.137999999999998</v>
      </c>
      <c r="G5" s="638">
        <f t="shared" si="0"/>
        <v>95.156000000000006</v>
      </c>
      <c r="H5" s="639">
        <f t="shared" si="0"/>
        <v>470</v>
      </c>
      <c r="I5" s="625"/>
    </row>
  </sheetData>
  <mergeCells count="1">
    <mergeCell ref="A1:G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zoomScale="70" zoomScaleNormal="70" workbookViewId="0">
      <selection activeCell="G52" sqref="G52"/>
    </sheetView>
  </sheetViews>
  <sheetFormatPr defaultRowHeight="15.75"/>
  <cols>
    <col min="1" max="2" width="9.140625" style="1"/>
    <col min="3" max="3" width="19.42578125" style="1" customWidth="1"/>
    <col min="4" max="4" width="13.42578125" style="1" customWidth="1"/>
    <col min="5" max="5" width="16.28515625" style="1" customWidth="1"/>
    <col min="6" max="6" width="13.85546875" style="1" bestFit="1" customWidth="1"/>
    <col min="7" max="7" width="14.5703125" style="1" customWidth="1"/>
    <col min="8" max="8" width="13.42578125" style="1" customWidth="1"/>
    <col min="9" max="9" width="16.42578125" style="1" customWidth="1"/>
    <col min="10" max="10" width="17.140625" style="1" customWidth="1"/>
    <col min="11" max="11" width="16.140625" style="1" customWidth="1"/>
    <col min="12" max="12" width="17.28515625" style="1" customWidth="1"/>
    <col min="13" max="13" width="16.42578125" style="1" customWidth="1"/>
    <col min="14" max="16384" width="9.140625" style="1"/>
  </cols>
  <sheetData>
    <row r="1" spans="2:8">
      <c r="F1" s="2487" t="s">
        <v>143</v>
      </c>
      <c r="G1" s="2487"/>
    </row>
    <row r="2" spans="2:8">
      <c r="B2" s="2418" t="s">
        <v>343</v>
      </c>
      <c r="C2" s="2418"/>
      <c r="D2" s="2418"/>
      <c r="E2" s="2418"/>
      <c r="F2" s="2418"/>
      <c r="G2" s="2418"/>
      <c r="H2" s="2418"/>
    </row>
    <row r="3" spans="2:8">
      <c r="B3" s="2419" t="s">
        <v>1004</v>
      </c>
      <c r="C3" s="2419"/>
      <c r="D3" s="2419"/>
      <c r="E3" s="2419"/>
      <c r="F3" s="2419"/>
      <c r="G3" s="2419"/>
      <c r="H3" s="2419"/>
    </row>
    <row r="5" spans="2:8">
      <c r="B5" s="147" t="s">
        <v>190</v>
      </c>
    </row>
    <row r="6" spans="2:8" ht="15.75" hidden="1" customHeight="1">
      <c r="B6" s="579" t="s">
        <v>389</v>
      </c>
      <c r="C6" s="2669" t="s">
        <v>104</v>
      </c>
      <c r="D6" s="2669" t="s">
        <v>105</v>
      </c>
      <c r="E6" s="580" t="s">
        <v>389</v>
      </c>
      <c r="F6" s="581" t="s">
        <v>104</v>
      </c>
      <c r="G6" s="2671" t="s">
        <v>105</v>
      </c>
    </row>
    <row r="7" spans="2:8" ht="15.75" hidden="1" customHeight="1">
      <c r="B7" s="582"/>
      <c r="C7" s="2670"/>
      <c r="D7" s="2670"/>
      <c r="E7" s="583"/>
      <c r="F7" s="584"/>
      <c r="G7" s="2672"/>
    </row>
    <row r="8" spans="2:8" ht="15.75" hidden="1" customHeight="1">
      <c r="B8" s="585" t="s">
        <v>186</v>
      </c>
      <c r="C8" s="586"/>
      <c r="D8" s="346">
        <f>263+96</f>
        <v>359</v>
      </c>
      <c r="E8" s="346" t="s">
        <v>187</v>
      </c>
      <c r="F8" s="586"/>
      <c r="G8" s="348">
        <f>D28</f>
        <v>423</v>
      </c>
    </row>
    <row r="9" spans="2:8" ht="15.75" hidden="1" customHeight="1">
      <c r="B9" s="587">
        <v>1</v>
      </c>
      <c r="C9" s="346" t="s">
        <v>106</v>
      </c>
      <c r="D9" s="346">
        <v>4</v>
      </c>
      <c r="E9" s="346">
        <v>1</v>
      </c>
      <c r="F9" s="346" t="s">
        <v>124</v>
      </c>
      <c r="G9" s="348">
        <v>4</v>
      </c>
    </row>
    <row r="10" spans="2:8" ht="15.75" hidden="1" customHeight="1">
      <c r="B10" s="587">
        <v>2</v>
      </c>
      <c r="C10" s="346" t="s">
        <v>107</v>
      </c>
      <c r="D10" s="346">
        <v>3</v>
      </c>
      <c r="E10" s="346">
        <v>2</v>
      </c>
      <c r="F10" s="346" t="s">
        <v>125</v>
      </c>
      <c r="G10" s="348">
        <v>4</v>
      </c>
    </row>
    <row r="11" spans="2:8" hidden="1">
      <c r="B11" s="587">
        <v>3</v>
      </c>
      <c r="C11" s="346" t="s">
        <v>108</v>
      </c>
      <c r="D11" s="346">
        <v>4</v>
      </c>
      <c r="E11" s="346">
        <v>3</v>
      </c>
      <c r="F11" s="346" t="s">
        <v>126</v>
      </c>
      <c r="G11" s="348">
        <v>4</v>
      </c>
    </row>
    <row r="12" spans="2:8" hidden="1">
      <c r="B12" s="587">
        <v>4</v>
      </c>
      <c r="C12" s="346" t="s">
        <v>109</v>
      </c>
      <c r="D12" s="346">
        <v>3</v>
      </c>
      <c r="E12" s="346">
        <v>4</v>
      </c>
      <c r="F12" s="346" t="s">
        <v>127</v>
      </c>
      <c r="G12" s="348">
        <v>4</v>
      </c>
    </row>
    <row r="13" spans="2:8" hidden="1">
      <c r="B13" s="587">
        <v>5</v>
      </c>
      <c r="C13" s="346" t="s">
        <v>110</v>
      </c>
      <c r="D13" s="346">
        <v>4</v>
      </c>
      <c r="E13" s="346">
        <v>5</v>
      </c>
      <c r="F13" s="346" t="s">
        <v>128</v>
      </c>
      <c r="G13" s="348">
        <v>4</v>
      </c>
    </row>
    <row r="14" spans="2:8" hidden="1">
      <c r="B14" s="587">
        <v>6</v>
      </c>
      <c r="C14" s="346" t="s">
        <v>111</v>
      </c>
      <c r="D14" s="346">
        <v>4</v>
      </c>
      <c r="E14" s="346">
        <v>6</v>
      </c>
      <c r="F14" s="346" t="s">
        <v>129</v>
      </c>
      <c r="G14" s="348">
        <v>4</v>
      </c>
    </row>
    <row r="15" spans="2:8" hidden="1">
      <c r="B15" s="587">
        <v>7</v>
      </c>
      <c r="C15" s="346" t="s">
        <v>112</v>
      </c>
      <c r="D15" s="346">
        <v>4</v>
      </c>
      <c r="E15" s="346">
        <v>7</v>
      </c>
      <c r="F15" s="346" t="s">
        <v>130</v>
      </c>
      <c r="G15" s="348">
        <v>4</v>
      </c>
    </row>
    <row r="16" spans="2:8" hidden="1">
      <c r="B16" s="587">
        <v>8</v>
      </c>
      <c r="C16" s="346" t="s">
        <v>113</v>
      </c>
      <c r="D16" s="346">
        <v>4</v>
      </c>
      <c r="E16" s="346">
        <v>8</v>
      </c>
      <c r="F16" s="346" t="s">
        <v>131</v>
      </c>
      <c r="G16" s="348">
        <v>4</v>
      </c>
    </row>
    <row r="17" spans="2:8" hidden="1">
      <c r="B17" s="587">
        <v>9</v>
      </c>
      <c r="C17" s="346" t="s">
        <v>114</v>
      </c>
      <c r="D17" s="346">
        <v>3</v>
      </c>
      <c r="E17" s="346">
        <v>9</v>
      </c>
      <c r="F17" s="346" t="s">
        <v>132</v>
      </c>
      <c r="G17" s="348">
        <v>4</v>
      </c>
    </row>
    <row r="18" spans="2:8" hidden="1">
      <c r="B18" s="587">
        <v>10</v>
      </c>
      <c r="C18" s="346" t="s">
        <v>115</v>
      </c>
      <c r="D18" s="346">
        <v>4</v>
      </c>
      <c r="E18" s="346">
        <v>10</v>
      </c>
      <c r="F18" s="346" t="s">
        <v>133</v>
      </c>
      <c r="G18" s="348">
        <v>4</v>
      </c>
    </row>
    <row r="19" spans="2:8" hidden="1">
      <c r="B19" s="587">
        <v>11</v>
      </c>
      <c r="C19" s="346" t="s">
        <v>116</v>
      </c>
      <c r="D19" s="346">
        <v>3</v>
      </c>
      <c r="E19" s="346">
        <v>11</v>
      </c>
      <c r="F19" s="346" t="s">
        <v>134</v>
      </c>
      <c r="G19" s="348">
        <v>4</v>
      </c>
    </row>
    <row r="20" spans="2:8" hidden="1">
      <c r="B20" s="587">
        <v>12</v>
      </c>
      <c r="C20" s="346" t="s">
        <v>117</v>
      </c>
      <c r="D20" s="346">
        <v>4</v>
      </c>
      <c r="E20" s="346">
        <v>12</v>
      </c>
      <c r="F20" s="346" t="s">
        <v>135</v>
      </c>
      <c r="G20" s="348">
        <v>4</v>
      </c>
    </row>
    <row r="21" spans="2:8" hidden="1">
      <c r="B21" s="587">
        <v>13</v>
      </c>
      <c r="C21" s="346" t="s">
        <v>118</v>
      </c>
      <c r="D21" s="346">
        <v>3</v>
      </c>
      <c r="E21" s="346">
        <v>13</v>
      </c>
      <c r="F21" s="346" t="s">
        <v>136</v>
      </c>
      <c r="G21" s="348">
        <v>4</v>
      </c>
    </row>
    <row r="22" spans="2:8" hidden="1">
      <c r="B22" s="587">
        <v>14</v>
      </c>
      <c r="C22" s="346" t="s">
        <v>119</v>
      </c>
      <c r="D22" s="346">
        <v>4</v>
      </c>
      <c r="E22" s="346">
        <v>14</v>
      </c>
      <c r="F22" s="346" t="s">
        <v>139</v>
      </c>
      <c r="G22" s="348">
        <v>4</v>
      </c>
    </row>
    <row r="23" spans="2:8" hidden="1">
      <c r="B23" s="587">
        <v>15</v>
      </c>
      <c r="C23" s="346" t="s">
        <v>123</v>
      </c>
      <c r="D23" s="346">
        <v>4</v>
      </c>
      <c r="E23" s="346">
        <v>15</v>
      </c>
      <c r="F23" s="346" t="s">
        <v>137</v>
      </c>
      <c r="G23" s="348">
        <v>4</v>
      </c>
    </row>
    <row r="24" spans="2:8" hidden="1">
      <c r="B24" s="587">
        <v>16</v>
      </c>
      <c r="C24" s="346" t="s">
        <v>120</v>
      </c>
      <c r="D24" s="346">
        <v>4</v>
      </c>
      <c r="E24" s="346">
        <v>16</v>
      </c>
      <c r="F24" s="346" t="s">
        <v>138</v>
      </c>
      <c r="G24" s="348">
        <v>4</v>
      </c>
    </row>
    <row r="25" spans="2:8" hidden="1">
      <c r="B25" s="587">
        <v>17</v>
      </c>
      <c r="C25" s="346" t="s">
        <v>121</v>
      </c>
      <c r="D25" s="346">
        <v>2</v>
      </c>
      <c r="E25" s="346"/>
      <c r="F25" s="346"/>
      <c r="G25" s="348"/>
    </row>
    <row r="26" spans="2:8" hidden="1">
      <c r="B26" s="587">
        <v>18</v>
      </c>
      <c r="C26" s="346" t="s">
        <v>122</v>
      </c>
      <c r="D26" s="346">
        <v>3</v>
      </c>
      <c r="E26" s="346"/>
      <c r="F26" s="346"/>
      <c r="G26" s="348"/>
    </row>
    <row r="27" spans="2:8" hidden="1">
      <c r="B27" s="587"/>
      <c r="C27" s="346"/>
      <c r="D27" s="347">
        <f>SUM(D9:D26)</f>
        <v>64</v>
      </c>
      <c r="E27" s="347"/>
      <c r="F27" s="347"/>
      <c r="G27" s="534">
        <f>SUM(G9:G26)</f>
        <v>64</v>
      </c>
      <c r="H27" s="147"/>
    </row>
    <row r="28" spans="2:8" ht="16.5" hidden="1" thickBot="1">
      <c r="B28" s="588" t="s">
        <v>192</v>
      </c>
      <c r="C28" s="349"/>
      <c r="D28" s="349">
        <f>D27+D8</f>
        <v>423</v>
      </c>
      <c r="E28" s="349" t="s">
        <v>193</v>
      </c>
      <c r="F28" s="349"/>
      <c r="G28" s="350">
        <f>G27+G8</f>
        <v>487</v>
      </c>
    </row>
    <row r="29" spans="2:8" hidden="1"/>
    <row r="30" spans="2:8" hidden="1"/>
    <row r="31" spans="2:8" hidden="1">
      <c r="B31" s="1" t="s">
        <v>191</v>
      </c>
    </row>
    <row r="32" spans="2:8" hidden="1">
      <c r="B32" s="346"/>
      <c r="C32" s="589">
        <v>40182</v>
      </c>
      <c r="D32" s="590" t="s">
        <v>188</v>
      </c>
      <c r="E32" s="590" t="s">
        <v>189</v>
      </c>
    </row>
    <row r="33" spans="2:13" hidden="1">
      <c r="B33" s="347" t="s">
        <v>431</v>
      </c>
      <c r="C33" s="346">
        <f>402+219</f>
        <v>621</v>
      </c>
      <c r="D33" s="346">
        <f>425+235</f>
        <v>660</v>
      </c>
      <c r="E33" s="346">
        <f>448+251</f>
        <v>699</v>
      </c>
    </row>
    <row r="35" spans="2:13" ht="16.5" thickBot="1">
      <c r="B35" s="1" t="s">
        <v>1322</v>
      </c>
    </row>
    <row r="36" spans="2:13" ht="39.75" customHeight="1">
      <c r="B36" s="2663" t="s">
        <v>349</v>
      </c>
      <c r="C36" s="2665" t="s">
        <v>331</v>
      </c>
      <c r="D36" s="2667" t="s">
        <v>1034</v>
      </c>
      <c r="E36" s="2668"/>
      <c r="F36" s="2668"/>
      <c r="G36" s="2665"/>
      <c r="H36" s="2663" t="s">
        <v>1039</v>
      </c>
      <c r="I36" s="2668"/>
      <c r="J36" s="2668"/>
      <c r="K36" s="2668"/>
      <c r="L36" s="2665"/>
      <c r="M36" s="963" t="s">
        <v>1041</v>
      </c>
    </row>
    <row r="37" spans="2:13" ht="31.5">
      <c r="B37" s="2664"/>
      <c r="C37" s="2666"/>
      <c r="D37" s="296" t="s">
        <v>1228</v>
      </c>
      <c r="E37" s="968" t="s">
        <v>1036</v>
      </c>
      <c r="F37" s="295" t="s">
        <v>1038</v>
      </c>
      <c r="G37" s="965" t="s">
        <v>1037</v>
      </c>
      <c r="H37" s="964" t="s">
        <v>1228</v>
      </c>
      <c r="I37" s="968" t="s">
        <v>1036</v>
      </c>
      <c r="J37" s="968" t="s">
        <v>1229</v>
      </c>
      <c r="K37" s="968" t="s">
        <v>1230</v>
      </c>
      <c r="L37" s="965" t="s">
        <v>1231</v>
      </c>
      <c r="M37" s="302" t="s">
        <v>1040</v>
      </c>
    </row>
    <row r="38" spans="2:13" ht="16.5" thickBot="1">
      <c r="B38" s="497"/>
      <c r="C38" s="498" t="s">
        <v>1042</v>
      </c>
      <c r="D38" s="544">
        <v>1</v>
      </c>
      <c r="E38" s="500">
        <v>2</v>
      </c>
      <c r="F38" s="500">
        <v>3</v>
      </c>
      <c r="G38" s="501">
        <v>4</v>
      </c>
      <c r="H38" s="499">
        <v>5</v>
      </c>
      <c r="I38" s="500">
        <v>6</v>
      </c>
      <c r="J38" s="500">
        <v>7</v>
      </c>
      <c r="K38" s="500">
        <v>8</v>
      </c>
      <c r="L38" s="501" t="s">
        <v>1043</v>
      </c>
      <c r="M38" s="502">
        <v>10</v>
      </c>
    </row>
    <row r="39" spans="2:13">
      <c r="B39" s="591">
        <v>1</v>
      </c>
      <c r="C39" s="592" t="s">
        <v>103</v>
      </c>
      <c r="D39" s="525">
        <v>359</v>
      </c>
      <c r="E39" s="545" t="s">
        <v>1320</v>
      </c>
      <c r="F39" s="545" t="s">
        <v>1320</v>
      </c>
      <c r="G39" s="977">
        <v>359</v>
      </c>
      <c r="H39" s="575">
        <v>423</v>
      </c>
      <c r="I39" s="526" t="s">
        <v>1320</v>
      </c>
      <c r="J39" s="545"/>
      <c r="K39" s="526"/>
      <c r="L39" s="527">
        <v>405</v>
      </c>
      <c r="M39" s="594">
        <v>470</v>
      </c>
    </row>
    <row r="40" spans="2:13">
      <c r="B40" s="587">
        <v>2</v>
      </c>
      <c r="C40" s="534" t="s">
        <v>431</v>
      </c>
      <c r="D40" s="524">
        <v>621</v>
      </c>
      <c r="E40" s="91" t="s">
        <v>1320</v>
      </c>
      <c r="F40" s="91" t="s">
        <v>1320</v>
      </c>
      <c r="G40" s="978">
        <v>621</v>
      </c>
      <c r="H40" s="576">
        <v>660</v>
      </c>
      <c r="I40" s="346" t="s">
        <v>1320</v>
      </c>
      <c r="J40" s="91"/>
      <c r="K40" s="346"/>
      <c r="L40" s="348">
        <v>625</v>
      </c>
      <c r="M40" s="351">
        <v>631</v>
      </c>
    </row>
    <row r="41" spans="2:13" ht="16.5" thickBot="1">
      <c r="B41" s="588"/>
      <c r="C41" s="596" t="s">
        <v>287</v>
      </c>
      <c r="D41" s="597">
        <f>SUM(D39:D40)</f>
        <v>980</v>
      </c>
      <c r="E41" s="535" t="s">
        <v>1320</v>
      </c>
      <c r="F41" s="535" t="s">
        <v>1320</v>
      </c>
      <c r="G41" s="979">
        <v>980</v>
      </c>
      <c r="H41" s="980">
        <f>SUM(H39:H40)</f>
        <v>1083</v>
      </c>
      <c r="I41" s="349" t="s">
        <v>1320</v>
      </c>
      <c r="J41" s="535"/>
      <c r="K41" s="349"/>
      <c r="L41" s="350">
        <v>1030</v>
      </c>
      <c r="M41" s="352">
        <v>1101</v>
      </c>
    </row>
    <row r="44" spans="2:13">
      <c r="B44" s="1" t="s">
        <v>1323</v>
      </c>
    </row>
    <row r="45" spans="2:13" ht="16.5" thickBot="1"/>
    <row r="46" spans="2:13" ht="31.5">
      <c r="B46" s="2663" t="s">
        <v>349</v>
      </c>
      <c r="C46" s="2665" t="s">
        <v>331</v>
      </c>
      <c r="D46" s="2667" t="s">
        <v>1034</v>
      </c>
      <c r="E46" s="2668"/>
      <c r="F46" s="2668"/>
      <c r="G46" s="2665"/>
      <c r="H46" s="2663" t="s">
        <v>1039</v>
      </c>
      <c r="I46" s="2668"/>
      <c r="J46" s="2668"/>
      <c r="K46" s="2668"/>
      <c r="L46" s="2665"/>
      <c r="M46" s="963" t="s">
        <v>1041</v>
      </c>
    </row>
    <row r="47" spans="2:13" ht="31.5">
      <c r="B47" s="2664"/>
      <c r="C47" s="2666"/>
      <c r="D47" s="296" t="s">
        <v>1228</v>
      </c>
      <c r="E47" s="968" t="s">
        <v>1036</v>
      </c>
      <c r="F47" s="295" t="s">
        <v>1038</v>
      </c>
      <c r="G47" s="965" t="s">
        <v>1037</v>
      </c>
      <c r="H47" s="964" t="s">
        <v>1228</v>
      </c>
      <c r="I47" s="968" t="s">
        <v>1036</v>
      </c>
      <c r="J47" s="968" t="s">
        <v>1229</v>
      </c>
      <c r="K47" s="968" t="s">
        <v>1230</v>
      </c>
      <c r="L47" s="965" t="s">
        <v>1231</v>
      </c>
      <c r="M47" s="302" t="s">
        <v>1040</v>
      </c>
    </row>
    <row r="48" spans="2:13" ht="16.5" thickBot="1">
      <c r="B48" s="497"/>
      <c r="C48" s="498" t="s">
        <v>1042</v>
      </c>
      <c r="D48" s="544">
        <v>1</v>
      </c>
      <c r="E48" s="500">
        <v>2</v>
      </c>
      <c r="F48" s="500">
        <v>3</v>
      </c>
      <c r="G48" s="501">
        <v>4</v>
      </c>
      <c r="H48" s="499">
        <v>5</v>
      </c>
      <c r="I48" s="500">
        <v>6</v>
      </c>
      <c r="J48" s="500">
        <v>7</v>
      </c>
      <c r="K48" s="500">
        <v>8</v>
      </c>
      <c r="L48" s="501" t="s">
        <v>1043</v>
      </c>
      <c r="M48" s="502">
        <v>10</v>
      </c>
    </row>
    <row r="49" spans="2:13">
      <c r="B49" s="591">
        <v>1</v>
      </c>
      <c r="C49" s="592" t="s">
        <v>103</v>
      </c>
      <c r="D49" s="525">
        <v>64</v>
      </c>
      <c r="E49" s="545" t="s">
        <v>1320</v>
      </c>
      <c r="F49" s="545" t="s">
        <v>1320</v>
      </c>
      <c r="G49" s="977">
        <v>46</v>
      </c>
      <c r="H49" s="575">
        <v>64</v>
      </c>
      <c r="I49" s="526" t="s">
        <v>1320</v>
      </c>
      <c r="J49" s="545"/>
      <c r="K49" s="526"/>
      <c r="L49" s="527">
        <v>65</v>
      </c>
      <c r="M49" s="594">
        <v>68</v>
      </c>
    </row>
    <row r="50" spans="2:13">
      <c r="B50" s="587">
        <v>2</v>
      </c>
      <c r="C50" s="534" t="s">
        <v>431</v>
      </c>
      <c r="D50" s="524">
        <v>39</v>
      </c>
      <c r="E50" s="91" t="s">
        <v>1320</v>
      </c>
      <c r="F50" s="91" t="s">
        <v>1320</v>
      </c>
      <c r="G50" s="978">
        <v>4</v>
      </c>
      <c r="H50" s="576">
        <v>39</v>
      </c>
      <c r="I50" s="346" t="s">
        <v>1320</v>
      </c>
      <c r="J50" s="91"/>
      <c r="K50" s="346"/>
      <c r="L50" s="348">
        <v>6</v>
      </c>
      <c r="M50" s="351">
        <v>8</v>
      </c>
    </row>
    <row r="51" spans="2:13" ht="16.5" thickBot="1">
      <c r="B51" s="588"/>
      <c r="C51" s="596" t="s">
        <v>287</v>
      </c>
      <c r="D51" s="597">
        <f>SUM(D49:D50)</f>
        <v>103</v>
      </c>
      <c r="E51" s="535" t="s">
        <v>1320</v>
      </c>
      <c r="F51" s="535" t="s">
        <v>1320</v>
      </c>
      <c r="G51" s="979">
        <v>50</v>
      </c>
      <c r="H51" s="980">
        <f>SUM(H49:H50)</f>
        <v>103</v>
      </c>
      <c r="I51" s="349" t="s">
        <v>1320</v>
      </c>
      <c r="J51" s="535"/>
      <c r="K51" s="349"/>
      <c r="L51" s="350">
        <v>71</v>
      </c>
      <c r="M51" s="352">
        <v>76</v>
      </c>
    </row>
  </sheetData>
  <mergeCells count="14">
    <mergeCell ref="F1:G1"/>
    <mergeCell ref="B2:H2"/>
    <mergeCell ref="B3:H3"/>
    <mergeCell ref="C6:C7"/>
    <mergeCell ref="D6:D7"/>
    <mergeCell ref="G6:G7"/>
    <mergeCell ref="B36:B37"/>
    <mergeCell ref="C36:C37"/>
    <mergeCell ref="D36:G36"/>
    <mergeCell ref="H36:L36"/>
    <mergeCell ref="B46:B47"/>
    <mergeCell ref="C46:C47"/>
    <mergeCell ref="D46:G46"/>
    <mergeCell ref="H46:L46"/>
  </mergeCells>
  <printOptions horizontalCentered="1"/>
  <pageMargins left="0.7" right="0.7" top="0.75" bottom="0.75" header="0.3" footer="0.3"/>
  <pageSetup paperSize="9" scale="68" orientation="landscape" r:id="rId1"/>
  <headerFooter>
    <oddHeader>&amp;R&amp;F</oddHeader>
    <oddFooter>&amp;L&amp;P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S38"/>
  <sheetViews>
    <sheetView topLeftCell="A2" zoomScale="106" zoomScaleNormal="106" workbookViewId="0">
      <selection activeCell="F15" sqref="F15"/>
    </sheetView>
  </sheetViews>
  <sheetFormatPr defaultRowHeight="12.75"/>
  <cols>
    <col min="1" max="1" width="6.140625" style="1132" customWidth="1"/>
    <col min="2" max="2" width="39.42578125" style="1132" customWidth="1"/>
    <col min="3" max="3" width="10.28515625" style="1132" customWidth="1"/>
    <col min="4" max="4" width="11.5703125" style="1132" customWidth="1"/>
    <col min="5" max="7" width="15.85546875" style="1132" customWidth="1"/>
    <col min="8" max="10" width="11.7109375" style="1132" customWidth="1"/>
    <col min="11" max="13" width="13" style="1132" customWidth="1"/>
    <col min="14" max="14" width="10.5703125" style="1132" customWidth="1"/>
    <col min="15" max="15" width="17.42578125" style="1139" customWidth="1"/>
    <col min="16" max="17" width="17.42578125" style="1132" customWidth="1"/>
    <col min="18" max="18" width="14.5703125" style="1132" customWidth="1"/>
    <col min="19" max="19" width="15.42578125" style="1132" customWidth="1"/>
    <col min="20" max="16384" width="9.140625" style="1132"/>
  </cols>
  <sheetData>
    <row r="1" spans="1:19">
      <c r="A1" s="2673" t="s">
        <v>2259</v>
      </c>
      <c r="B1" s="2673"/>
      <c r="C1" s="2673"/>
      <c r="D1" s="2673"/>
      <c r="E1" s="2673"/>
      <c r="F1" s="2673"/>
      <c r="G1" s="2673"/>
      <c r="H1" s="2673"/>
      <c r="I1" s="2673"/>
      <c r="J1" s="2673"/>
      <c r="K1" s="2673"/>
      <c r="L1" s="2673"/>
      <c r="M1" s="2673"/>
      <c r="N1" s="2673"/>
      <c r="O1" s="2673"/>
      <c r="P1" s="2673"/>
      <c r="Q1" s="1259"/>
    </row>
    <row r="3" spans="1:19" ht="63.75">
      <c r="A3" s="1133" t="s">
        <v>394</v>
      </c>
      <c r="B3" s="1133" t="s">
        <v>1448</v>
      </c>
      <c r="C3" s="1134" t="s">
        <v>1390</v>
      </c>
      <c r="D3" s="1134" t="s">
        <v>2260</v>
      </c>
      <c r="E3" s="1134" t="s">
        <v>2261</v>
      </c>
      <c r="F3" s="1134" t="s">
        <v>2438</v>
      </c>
      <c r="G3" s="1134" t="s">
        <v>2451</v>
      </c>
      <c r="H3" s="1134" t="s">
        <v>2262</v>
      </c>
      <c r="I3" s="1134" t="s">
        <v>2438</v>
      </c>
      <c r="J3" s="1134" t="s">
        <v>2451</v>
      </c>
      <c r="K3" s="1134" t="s">
        <v>2263</v>
      </c>
      <c r="L3" s="1134" t="s">
        <v>2438</v>
      </c>
      <c r="M3" s="1134" t="s">
        <v>2451</v>
      </c>
      <c r="N3" s="1134" t="s">
        <v>2264</v>
      </c>
      <c r="O3" s="1134" t="s">
        <v>2265</v>
      </c>
      <c r="P3" s="1134" t="s">
        <v>2266</v>
      </c>
      <c r="Q3" s="1134"/>
      <c r="R3" s="1261" t="s">
        <v>2463</v>
      </c>
      <c r="S3" s="1261" t="s">
        <v>2462</v>
      </c>
    </row>
    <row r="4" spans="1:19" ht="25.5">
      <c r="A4" s="1135">
        <v>1</v>
      </c>
      <c r="B4" s="1136" t="s">
        <v>2267</v>
      </c>
      <c r="C4" s="1137">
        <v>22.17</v>
      </c>
      <c r="D4" s="1137">
        <v>5.22</v>
      </c>
      <c r="E4" s="1137">
        <v>9.0399999999999991</v>
      </c>
      <c r="F4" s="1137">
        <v>14.259999999999998</v>
      </c>
      <c r="G4" s="1137">
        <f>D4+E4-F4</f>
        <v>0</v>
      </c>
      <c r="H4" s="1138">
        <v>0.5</v>
      </c>
      <c r="I4" s="1138">
        <v>0.5</v>
      </c>
      <c r="J4" s="1138">
        <f>G4+H4-I4</f>
        <v>0</v>
      </c>
      <c r="K4" s="1139">
        <v>0</v>
      </c>
      <c r="L4" s="1139">
        <v>0</v>
      </c>
      <c r="M4" s="1145">
        <f>J4+K4-L4</f>
        <v>0</v>
      </c>
      <c r="N4" s="1132" t="s">
        <v>2268</v>
      </c>
      <c r="O4" s="1140" t="s">
        <v>2269</v>
      </c>
      <c r="P4" s="1132" t="s">
        <v>1983</v>
      </c>
      <c r="R4" s="1262">
        <f>SUM(D4:K4)-H4</f>
        <v>29.019999999999996</v>
      </c>
      <c r="S4" s="1262">
        <f>H4</f>
        <v>0.5</v>
      </c>
    </row>
    <row r="5" spans="1:19" ht="25.5">
      <c r="A5" s="1135">
        <f>A4+1</f>
        <v>2</v>
      </c>
      <c r="B5" s="1136" t="s">
        <v>2270</v>
      </c>
      <c r="C5" s="1137">
        <v>12.8</v>
      </c>
      <c r="D5" s="1137">
        <v>0.2</v>
      </c>
      <c r="E5" s="1137">
        <v>9.4</v>
      </c>
      <c r="F5" s="1137">
        <v>9.6</v>
      </c>
      <c r="G5" s="1137">
        <f t="shared" ref="G5:G19" si="0">D5+E5-F5</f>
        <v>0</v>
      </c>
      <c r="H5" s="1138">
        <v>0.2</v>
      </c>
      <c r="I5" s="1138">
        <v>0.2</v>
      </c>
      <c r="J5" s="1138">
        <f t="shared" ref="J5:J19" si="1">G5+H5-I5</f>
        <v>0</v>
      </c>
      <c r="K5" s="1139">
        <v>0</v>
      </c>
      <c r="L5" s="1139">
        <v>0</v>
      </c>
      <c r="M5" s="1145">
        <f t="shared" ref="M5:M19" si="2">J5+K5-L5</f>
        <v>0</v>
      </c>
      <c r="N5" s="1132" t="s">
        <v>2271</v>
      </c>
      <c r="O5" s="1141" t="s">
        <v>2272</v>
      </c>
      <c r="P5" s="1132" t="s">
        <v>1983</v>
      </c>
      <c r="R5" s="1262">
        <f>SUM(D5:K5)-H5</f>
        <v>19.399999999999999</v>
      </c>
      <c r="S5" s="1262">
        <v>0.2</v>
      </c>
    </row>
    <row r="6" spans="1:19" ht="25.5">
      <c r="A6" s="1135">
        <f t="shared" ref="A6:A19" si="3">A5+1</f>
        <v>3</v>
      </c>
      <c r="B6" s="1136" t="s">
        <v>2273</v>
      </c>
      <c r="C6" s="1137">
        <v>10.82</v>
      </c>
      <c r="D6" s="1137">
        <v>1.3</v>
      </c>
      <c r="E6" s="1137">
        <v>6.75</v>
      </c>
      <c r="F6" s="1137">
        <v>8.0500000000000007</v>
      </c>
      <c r="G6" s="1137">
        <f t="shared" si="0"/>
        <v>0</v>
      </c>
      <c r="H6" s="1138">
        <v>0.2</v>
      </c>
      <c r="I6" s="1138">
        <v>0.2</v>
      </c>
      <c r="J6" s="1138">
        <f t="shared" si="1"/>
        <v>0</v>
      </c>
      <c r="K6" s="1139">
        <v>0</v>
      </c>
      <c r="L6" s="1139">
        <v>0</v>
      </c>
      <c r="M6" s="1145">
        <f t="shared" si="2"/>
        <v>0</v>
      </c>
      <c r="N6" s="1132" t="s">
        <v>2271</v>
      </c>
      <c r="O6" s="1139" t="s">
        <v>2274</v>
      </c>
      <c r="R6" s="1262">
        <f t="shared" ref="R6:R19" si="4">SUM(D6:K6)-H6</f>
        <v>16.3</v>
      </c>
      <c r="S6" s="1262">
        <v>0.2</v>
      </c>
    </row>
    <row r="7" spans="1:19" ht="25.5">
      <c r="A7" s="1135">
        <f t="shared" si="3"/>
        <v>4</v>
      </c>
      <c r="B7" s="1136" t="s">
        <v>2275</v>
      </c>
      <c r="C7" s="1137">
        <v>10.82</v>
      </c>
      <c r="D7" s="1137">
        <v>1.67</v>
      </c>
      <c r="E7" s="1137">
        <v>7.23</v>
      </c>
      <c r="F7" s="1137">
        <v>8.9</v>
      </c>
      <c r="G7" s="1137">
        <f t="shared" si="0"/>
        <v>0</v>
      </c>
      <c r="H7" s="1138">
        <v>0.3</v>
      </c>
      <c r="I7" s="1138">
        <v>0.3</v>
      </c>
      <c r="J7" s="1138">
        <f t="shared" si="1"/>
        <v>0</v>
      </c>
      <c r="K7" s="1139">
        <v>0</v>
      </c>
      <c r="L7" s="1139">
        <v>0</v>
      </c>
      <c r="M7" s="1145">
        <f t="shared" si="2"/>
        <v>0</v>
      </c>
      <c r="N7" s="1132" t="s">
        <v>2271</v>
      </c>
      <c r="O7" s="1141" t="s">
        <v>2276</v>
      </c>
      <c r="R7" s="1262">
        <f t="shared" si="4"/>
        <v>18.100000000000001</v>
      </c>
      <c r="S7" s="1262">
        <v>0.3</v>
      </c>
    </row>
    <row r="8" spans="1:19" ht="25.5">
      <c r="A8" s="1135">
        <f t="shared" si="3"/>
        <v>5</v>
      </c>
      <c r="B8" s="1136" t="s">
        <v>2277</v>
      </c>
      <c r="C8" s="1137">
        <v>11</v>
      </c>
      <c r="D8" s="1137">
        <v>1.22</v>
      </c>
      <c r="E8" s="1137">
        <v>8.5299999999999994</v>
      </c>
      <c r="F8" s="1137">
        <v>9.75</v>
      </c>
      <c r="G8" s="1137">
        <f t="shared" si="0"/>
        <v>0</v>
      </c>
      <c r="H8" s="1138">
        <v>0.25</v>
      </c>
      <c r="I8" s="1138">
        <v>0.25</v>
      </c>
      <c r="J8" s="1138">
        <f t="shared" si="1"/>
        <v>0</v>
      </c>
      <c r="K8" s="1139">
        <v>0</v>
      </c>
      <c r="L8" s="1139">
        <v>0</v>
      </c>
      <c r="M8" s="1145">
        <f t="shared" si="2"/>
        <v>0</v>
      </c>
      <c r="N8" s="1132" t="s">
        <v>2271</v>
      </c>
      <c r="O8" s="1142" t="s">
        <v>2278</v>
      </c>
      <c r="R8" s="1262">
        <f t="shared" si="4"/>
        <v>19.75</v>
      </c>
      <c r="S8" s="1262">
        <v>0.25</v>
      </c>
    </row>
    <row r="9" spans="1:19" ht="25.5">
      <c r="A9" s="1135">
        <f t="shared" si="3"/>
        <v>6</v>
      </c>
      <c r="B9" s="1136" t="s">
        <v>2279</v>
      </c>
      <c r="C9" s="1137">
        <v>8.08</v>
      </c>
      <c r="D9" s="1137">
        <v>0.3</v>
      </c>
      <c r="E9" s="1137">
        <v>7.52</v>
      </c>
      <c r="F9" s="1137">
        <v>7.8199999999999994</v>
      </c>
      <c r="G9" s="1137">
        <f t="shared" si="0"/>
        <v>0</v>
      </c>
      <c r="H9" s="1138">
        <v>0.26</v>
      </c>
      <c r="I9" s="1138">
        <v>0.26</v>
      </c>
      <c r="J9" s="1138">
        <f t="shared" si="1"/>
        <v>0</v>
      </c>
      <c r="K9" s="1139">
        <v>0</v>
      </c>
      <c r="L9" s="1139">
        <v>0</v>
      </c>
      <c r="M9" s="1145">
        <f t="shared" si="2"/>
        <v>0</v>
      </c>
      <c r="N9" s="1132" t="s">
        <v>2271</v>
      </c>
      <c r="O9" s="1142" t="s">
        <v>2280</v>
      </c>
      <c r="R9" s="1262">
        <f t="shared" si="4"/>
        <v>15.9</v>
      </c>
      <c r="S9" s="1262">
        <v>0.26</v>
      </c>
    </row>
    <row r="10" spans="1:19" ht="25.5">
      <c r="A10" s="1135">
        <f t="shared" si="3"/>
        <v>7</v>
      </c>
      <c r="B10" s="1136" t="s">
        <v>2281</v>
      </c>
      <c r="C10" s="1137">
        <v>10.17</v>
      </c>
      <c r="D10" s="1137">
        <v>1.54</v>
      </c>
      <c r="E10" s="1137">
        <v>7.03</v>
      </c>
      <c r="F10" s="1137">
        <v>8.57</v>
      </c>
      <c r="G10" s="1137">
        <f t="shared" si="0"/>
        <v>0</v>
      </c>
      <c r="H10" s="1138">
        <v>0.25</v>
      </c>
      <c r="I10" s="1138">
        <v>0.25</v>
      </c>
      <c r="J10" s="1138">
        <f t="shared" si="1"/>
        <v>0</v>
      </c>
      <c r="K10" s="1139">
        <v>0</v>
      </c>
      <c r="L10" s="1139">
        <v>0</v>
      </c>
      <c r="M10" s="1145">
        <f t="shared" si="2"/>
        <v>0</v>
      </c>
      <c r="N10" s="1132" t="s">
        <v>2271</v>
      </c>
      <c r="O10" s="1141" t="s">
        <v>2282</v>
      </c>
      <c r="R10" s="1262">
        <f t="shared" si="4"/>
        <v>17.39</v>
      </c>
      <c r="S10" s="1262">
        <v>0.25</v>
      </c>
    </row>
    <row r="11" spans="1:19" ht="25.5">
      <c r="A11" s="1135">
        <f t="shared" si="3"/>
        <v>8</v>
      </c>
      <c r="B11" s="1136" t="s">
        <v>1985</v>
      </c>
      <c r="C11" s="1137">
        <v>13</v>
      </c>
      <c r="D11" s="1137">
        <v>0.09</v>
      </c>
      <c r="E11" s="1137">
        <v>7.86</v>
      </c>
      <c r="F11" s="1137">
        <v>7.95</v>
      </c>
      <c r="G11" s="1137">
        <f t="shared" si="0"/>
        <v>0</v>
      </c>
      <c r="H11" s="1138">
        <v>1</v>
      </c>
      <c r="I11" s="1138">
        <v>1</v>
      </c>
      <c r="J11" s="1138">
        <f t="shared" si="1"/>
        <v>0</v>
      </c>
      <c r="K11" s="1139">
        <v>0</v>
      </c>
      <c r="L11" s="1139">
        <v>0</v>
      </c>
      <c r="M11" s="1145">
        <f t="shared" si="2"/>
        <v>0</v>
      </c>
      <c r="N11" s="1132" t="s">
        <v>2271</v>
      </c>
      <c r="O11" s="1142" t="s">
        <v>2283</v>
      </c>
      <c r="R11" s="1262">
        <f t="shared" si="4"/>
        <v>16.899999999999999</v>
      </c>
      <c r="S11" s="1262">
        <v>1</v>
      </c>
    </row>
    <row r="12" spans="1:19">
      <c r="A12" s="1135">
        <f t="shared" si="3"/>
        <v>9</v>
      </c>
      <c r="B12" s="1136" t="s">
        <v>1990</v>
      </c>
      <c r="C12" s="1137">
        <v>13.19</v>
      </c>
      <c r="D12" s="1137">
        <v>3.51</v>
      </c>
      <c r="E12" s="1137">
        <v>7.24</v>
      </c>
      <c r="F12" s="1137">
        <v>10.75</v>
      </c>
      <c r="G12" s="1137">
        <f t="shared" si="0"/>
        <v>0</v>
      </c>
      <c r="H12" s="1138">
        <v>1</v>
      </c>
      <c r="I12" s="1138">
        <v>1</v>
      </c>
      <c r="J12" s="1138">
        <f t="shared" si="1"/>
        <v>0</v>
      </c>
      <c r="K12" s="1139">
        <v>0</v>
      </c>
      <c r="L12" s="1139">
        <v>0</v>
      </c>
      <c r="M12" s="1145">
        <f t="shared" si="2"/>
        <v>0</v>
      </c>
      <c r="N12" s="1132" t="s">
        <v>2271</v>
      </c>
      <c r="O12" s="1142" t="s">
        <v>2283</v>
      </c>
      <c r="R12" s="1262">
        <f t="shared" si="4"/>
        <v>22.5</v>
      </c>
      <c r="S12" s="1262">
        <v>1</v>
      </c>
    </row>
    <row r="13" spans="1:19" ht="25.5">
      <c r="A13" s="1135">
        <f t="shared" si="3"/>
        <v>10</v>
      </c>
      <c r="B13" s="1136" t="s">
        <v>2284</v>
      </c>
      <c r="C13" s="1137">
        <v>8.7200000000000006</v>
      </c>
      <c r="D13" s="1137">
        <v>6.53</v>
      </c>
      <c r="E13" s="1137">
        <v>1.72</v>
      </c>
      <c r="F13" s="1137">
        <v>8.25</v>
      </c>
      <c r="G13" s="1137">
        <f t="shared" si="0"/>
        <v>0</v>
      </c>
      <c r="H13" s="1138">
        <v>0.15</v>
      </c>
      <c r="I13" s="1138">
        <v>0.15</v>
      </c>
      <c r="J13" s="1138">
        <f t="shared" si="1"/>
        <v>0</v>
      </c>
      <c r="K13" s="1139">
        <v>0</v>
      </c>
      <c r="L13" s="1139">
        <v>0</v>
      </c>
      <c r="M13" s="1145">
        <f t="shared" si="2"/>
        <v>0</v>
      </c>
      <c r="N13" s="1132" t="s">
        <v>2271</v>
      </c>
      <c r="O13" s="1142" t="s">
        <v>2285</v>
      </c>
      <c r="R13" s="1262">
        <f t="shared" si="4"/>
        <v>16.649999999999999</v>
      </c>
      <c r="S13" s="1262">
        <v>0.15</v>
      </c>
    </row>
    <row r="14" spans="1:19" ht="25.5">
      <c r="A14" s="1135">
        <f t="shared" si="3"/>
        <v>11</v>
      </c>
      <c r="B14" s="1136" t="s">
        <v>2286</v>
      </c>
      <c r="C14" s="1137">
        <v>13.31</v>
      </c>
      <c r="D14" s="1137">
        <v>0.27</v>
      </c>
      <c r="E14" s="1137">
        <v>7.33</v>
      </c>
      <c r="F14" s="1137">
        <v>7.6</v>
      </c>
      <c r="G14" s="1137">
        <f t="shared" si="0"/>
        <v>0</v>
      </c>
      <c r="H14" s="1138">
        <v>0.6</v>
      </c>
      <c r="I14" s="1138">
        <v>0.6</v>
      </c>
      <c r="J14" s="1138">
        <f t="shared" si="1"/>
        <v>0</v>
      </c>
      <c r="K14" s="1139">
        <v>0</v>
      </c>
      <c r="L14" s="1139">
        <v>0</v>
      </c>
      <c r="M14" s="1145">
        <f t="shared" si="2"/>
        <v>0</v>
      </c>
      <c r="N14" s="1132" t="s">
        <v>2271</v>
      </c>
      <c r="O14" s="1142" t="s">
        <v>2287</v>
      </c>
      <c r="R14" s="1262">
        <f t="shared" si="4"/>
        <v>15.799999999999999</v>
      </c>
      <c r="S14" s="1262">
        <v>0.6</v>
      </c>
    </row>
    <row r="15" spans="1:19" ht="25.5">
      <c r="A15" s="1135">
        <f t="shared" si="3"/>
        <v>12</v>
      </c>
      <c r="B15" s="1136" t="s">
        <v>2288</v>
      </c>
      <c r="C15" s="1137">
        <v>8.8699999999999992</v>
      </c>
      <c r="D15" s="1137">
        <v>0.28000000000000003</v>
      </c>
      <c r="E15" s="1137">
        <v>7.25</v>
      </c>
      <c r="F15" s="1137">
        <v>7.53</v>
      </c>
      <c r="G15" s="1137">
        <f t="shared" si="0"/>
        <v>0</v>
      </c>
      <c r="H15" s="1138">
        <v>1.34</v>
      </c>
      <c r="I15" s="1138">
        <v>1.34</v>
      </c>
      <c r="J15" s="1138">
        <f t="shared" si="1"/>
        <v>0</v>
      </c>
      <c r="K15" s="1139">
        <v>0</v>
      </c>
      <c r="L15" s="1139">
        <v>0</v>
      </c>
      <c r="M15" s="1145">
        <f t="shared" si="2"/>
        <v>0</v>
      </c>
      <c r="N15" s="1132" t="s">
        <v>2271</v>
      </c>
      <c r="O15" s="1141" t="s">
        <v>2289</v>
      </c>
      <c r="R15" s="1262">
        <f t="shared" si="4"/>
        <v>16.400000000000002</v>
      </c>
      <c r="S15" s="1262">
        <v>1.34</v>
      </c>
    </row>
    <row r="16" spans="1:19" ht="25.5">
      <c r="A16" s="1135">
        <f t="shared" si="3"/>
        <v>13</v>
      </c>
      <c r="B16" s="1136" t="s">
        <v>2290</v>
      </c>
      <c r="C16" s="1137">
        <v>9.64</v>
      </c>
      <c r="D16" s="1137">
        <v>0.3</v>
      </c>
      <c r="E16" s="1137">
        <v>0.18</v>
      </c>
      <c r="F16" s="1137"/>
      <c r="G16" s="1137">
        <f t="shared" si="0"/>
        <v>0.48</v>
      </c>
      <c r="H16" s="1138">
        <v>6.41</v>
      </c>
      <c r="I16" s="1138">
        <v>6.8900000000000006</v>
      </c>
      <c r="J16" s="1138">
        <f t="shared" si="1"/>
        <v>0</v>
      </c>
      <c r="K16" s="1139">
        <v>5.38</v>
      </c>
      <c r="L16" s="1139">
        <v>5.38</v>
      </c>
      <c r="M16" s="1145">
        <f t="shared" si="2"/>
        <v>0</v>
      </c>
      <c r="N16" s="1132" t="s">
        <v>2291</v>
      </c>
      <c r="O16" s="1139" t="s">
        <v>1983</v>
      </c>
      <c r="P16" s="1143" t="s">
        <v>2292</v>
      </c>
      <c r="Q16" s="1143"/>
      <c r="R16" s="1262">
        <f t="shared" si="4"/>
        <v>13.23</v>
      </c>
      <c r="S16" s="1262">
        <v>6.41</v>
      </c>
    </row>
    <row r="17" spans="1:19" ht="38.25">
      <c r="A17" s="1135">
        <f t="shared" si="3"/>
        <v>14</v>
      </c>
      <c r="B17" s="1136" t="s">
        <v>2293</v>
      </c>
      <c r="C17" s="1137">
        <v>8.68</v>
      </c>
      <c r="D17" s="1137">
        <v>0.6</v>
      </c>
      <c r="E17" s="1137">
        <v>5.75</v>
      </c>
      <c r="F17" s="1137">
        <v>6.35</v>
      </c>
      <c r="G17" s="1137">
        <f t="shared" si="0"/>
        <v>0</v>
      </c>
      <c r="H17" s="1138">
        <v>0.1</v>
      </c>
      <c r="I17" s="1138">
        <v>0.1</v>
      </c>
      <c r="J17" s="1138">
        <f t="shared" si="1"/>
        <v>0</v>
      </c>
      <c r="K17" s="1139">
        <v>0</v>
      </c>
      <c r="L17" s="1139">
        <v>0</v>
      </c>
      <c r="M17" s="1145">
        <f t="shared" si="2"/>
        <v>0</v>
      </c>
      <c r="N17" s="1132" t="s">
        <v>2271</v>
      </c>
      <c r="O17" s="1141" t="s">
        <v>2294</v>
      </c>
      <c r="R17" s="1262">
        <f t="shared" si="4"/>
        <v>12.799999999999999</v>
      </c>
      <c r="S17" s="1262">
        <v>0.1</v>
      </c>
    </row>
    <row r="18" spans="1:19">
      <c r="A18" s="1135">
        <f t="shared" si="3"/>
        <v>15</v>
      </c>
      <c r="B18" s="1136" t="s">
        <v>2295</v>
      </c>
      <c r="C18" s="1137">
        <v>15.7</v>
      </c>
      <c r="D18" s="1137">
        <v>0.35</v>
      </c>
      <c r="E18" s="1137">
        <v>10.95</v>
      </c>
      <c r="F18" s="1137">
        <v>11.299999999999999</v>
      </c>
      <c r="G18" s="1137">
        <f t="shared" si="0"/>
        <v>0</v>
      </c>
      <c r="H18" s="1138">
        <v>1</v>
      </c>
      <c r="I18" s="1138">
        <v>1</v>
      </c>
      <c r="J18" s="1138">
        <f t="shared" si="1"/>
        <v>0</v>
      </c>
      <c r="K18" s="1139">
        <v>0</v>
      </c>
      <c r="L18" s="1139">
        <v>0</v>
      </c>
      <c r="M18" s="1145">
        <f t="shared" si="2"/>
        <v>0</v>
      </c>
      <c r="N18" s="1132" t="s">
        <v>2268</v>
      </c>
      <c r="O18" s="1142" t="s">
        <v>2296</v>
      </c>
      <c r="R18" s="1262">
        <f t="shared" si="4"/>
        <v>23.599999999999998</v>
      </c>
      <c r="S18" s="1262">
        <v>1</v>
      </c>
    </row>
    <row r="19" spans="1:19" ht="25.5">
      <c r="A19" s="1135">
        <f t="shared" si="3"/>
        <v>16</v>
      </c>
      <c r="B19" s="1144" t="s">
        <v>2000</v>
      </c>
      <c r="C19" s="1137">
        <v>9.85</v>
      </c>
      <c r="D19" s="1137">
        <v>0.56000000000000005</v>
      </c>
      <c r="E19" s="1137">
        <v>5.12</v>
      </c>
      <c r="F19" s="1137">
        <v>5.68</v>
      </c>
      <c r="G19" s="1137">
        <f t="shared" si="0"/>
        <v>0</v>
      </c>
      <c r="H19" s="1138">
        <v>0.2</v>
      </c>
      <c r="I19" s="1138">
        <v>0.2</v>
      </c>
      <c r="J19" s="1138">
        <f t="shared" si="1"/>
        <v>0</v>
      </c>
      <c r="K19" s="1139">
        <v>0</v>
      </c>
      <c r="L19" s="1139">
        <v>0</v>
      </c>
      <c r="M19" s="1145">
        <f t="shared" si="2"/>
        <v>0</v>
      </c>
      <c r="N19" s="1132" t="s">
        <v>2268</v>
      </c>
      <c r="O19" s="1142" t="s">
        <v>2297</v>
      </c>
      <c r="R19" s="1262">
        <f t="shared" si="4"/>
        <v>11.559999999999999</v>
      </c>
      <c r="S19" s="1262">
        <v>0.2</v>
      </c>
    </row>
    <row r="20" spans="1:19">
      <c r="B20" s="1132" t="s">
        <v>2298</v>
      </c>
      <c r="C20" s="1138">
        <f>SUM(C4:C19)</f>
        <v>186.81999999999996</v>
      </c>
      <c r="D20" s="1138">
        <f t="shared" ref="D20:M20" si="5">SUM(D4:D19)</f>
        <v>23.940000000000005</v>
      </c>
      <c r="E20" s="1138">
        <f t="shared" si="5"/>
        <v>108.9</v>
      </c>
      <c r="F20" s="1138">
        <f t="shared" si="5"/>
        <v>132.35999999999999</v>
      </c>
      <c r="G20" s="1138">
        <f t="shared" si="5"/>
        <v>0.48</v>
      </c>
      <c r="H20" s="1138">
        <f t="shared" si="5"/>
        <v>13.76</v>
      </c>
      <c r="I20" s="1138">
        <f t="shared" si="5"/>
        <v>14.24</v>
      </c>
      <c r="J20" s="1138">
        <f t="shared" si="5"/>
        <v>0</v>
      </c>
      <c r="K20" s="1138">
        <f t="shared" si="5"/>
        <v>5.38</v>
      </c>
      <c r="L20" s="1138">
        <f t="shared" si="5"/>
        <v>5.38</v>
      </c>
      <c r="M20" s="1138">
        <f t="shared" si="5"/>
        <v>0</v>
      </c>
      <c r="R20" s="1262">
        <f>SUM(R4:R19)</f>
        <v>285.30000000000007</v>
      </c>
      <c r="S20" s="1262">
        <f>SUM(S4:S19)</f>
        <v>13.76</v>
      </c>
    </row>
    <row r="21" spans="1:19">
      <c r="C21" s="1138"/>
      <c r="D21" s="1138"/>
      <c r="E21" s="1138"/>
      <c r="F21" s="1138"/>
      <c r="G21" s="1138"/>
      <c r="H21" s="1138"/>
      <c r="I21" s="1138"/>
      <c r="J21" s="1138"/>
    </row>
    <row r="25" spans="1:19">
      <c r="B25" s="1132" t="s">
        <v>2357</v>
      </c>
    </row>
    <row r="26" spans="1:19">
      <c r="B26" s="1132" t="s">
        <v>91</v>
      </c>
    </row>
    <row r="27" spans="1:19">
      <c r="B27" s="1172" t="s">
        <v>331</v>
      </c>
      <c r="C27" s="1173" t="s">
        <v>425</v>
      </c>
      <c r="D27" s="1173" t="s">
        <v>1751</v>
      </c>
      <c r="E27" s="1173" t="s">
        <v>1752</v>
      </c>
      <c r="F27" s="1263"/>
      <c r="G27" s="1263"/>
    </row>
    <row r="28" spans="1:19">
      <c r="B28" s="1171" t="s">
        <v>1363</v>
      </c>
      <c r="C28" s="1174">
        <f>E20</f>
        <v>108.9</v>
      </c>
      <c r="D28" s="1174">
        <f>H20</f>
        <v>13.76</v>
      </c>
      <c r="E28" s="1174">
        <f>K20</f>
        <v>5.38</v>
      </c>
      <c r="F28" s="1145"/>
      <c r="G28" s="1145"/>
    </row>
    <row r="29" spans="1:19">
      <c r="B29" s="1171" t="s">
        <v>1364</v>
      </c>
      <c r="C29" s="1175">
        <v>0</v>
      </c>
      <c r="D29" s="1175">
        <v>0</v>
      </c>
      <c r="E29" s="1175">
        <v>0</v>
      </c>
      <c r="F29" s="1139"/>
      <c r="G29" s="1139"/>
    </row>
    <row r="32" spans="1:19">
      <c r="B32" s="1132" t="s">
        <v>1750</v>
      </c>
    </row>
    <row r="33" spans="2:7">
      <c r="B33" s="1172" t="s">
        <v>331</v>
      </c>
      <c r="C33" s="1172" t="s">
        <v>425</v>
      </c>
      <c r="D33" s="1172" t="s">
        <v>1751</v>
      </c>
      <c r="E33" s="1172" t="s">
        <v>1752</v>
      </c>
      <c r="F33" s="1264"/>
      <c r="G33" s="1264"/>
    </row>
    <row r="34" spans="2:7">
      <c r="B34" s="1171" t="s">
        <v>1363</v>
      </c>
      <c r="C34" s="1174">
        <f>SUM(R4:R15)+R17</f>
        <v>236.91000000000005</v>
      </c>
      <c r="D34" s="1174">
        <f>SUM(S19+S16)</f>
        <v>6.61</v>
      </c>
      <c r="E34" s="1171"/>
    </row>
    <row r="35" spans="2:7">
      <c r="B35" s="1171" t="s">
        <v>1364</v>
      </c>
      <c r="C35" s="1171"/>
      <c r="D35" s="1171"/>
      <c r="E35" s="1171"/>
    </row>
    <row r="37" spans="2:7" ht="25.5">
      <c r="B37" s="1132" t="s">
        <v>2358</v>
      </c>
    </row>
    <row r="38" spans="2:7" ht="38.25">
      <c r="B38" s="1132" t="s">
        <v>2359</v>
      </c>
    </row>
  </sheetData>
  <mergeCells count="1">
    <mergeCell ref="A1:P1"/>
  </mergeCells>
  <printOptions gridLines="1"/>
  <pageMargins left="0.7" right="0.7" top="0.75" bottom="0.75" header="0.3" footer="0.3"/>
  <pageSetup paperSize="9" scale="85" orientation="landscape" verticalDpi="18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0"/>
  <sheetViews>
    <sheetView topLeftCell="C37" workbookViewId="0">
      <selection activeCell="L49" sqref="L49"/>
    </sheetView>
  </sheetViews>
  <sheetFormatPr defaultRowHeight="15.75"/>
  <cols>
    <col min="1" max="2" width="9.140625" style="1"/>
    <col min="3" max="3" width="19.42578125" style="1" customWidth="1"/>
    <col min="4" max="4" width="13.42578125" style="1" customWidth="1"/>
    <col min="5" max="5" width="16.28515625" style="1" customWidth="1"/>
    <col min="6" max="6" width="13.85546875" style="1" bestFit="1" customWidth="1"/>
    <col min="7" max="7" width="14.5703125" style="1" customWidth="1"/>
    <col min="8" max="8" width="13.42578125" style="1" customWidth="1"/>
    <col min="9" max="9" width="16.42578125" style="1" customWidth="1"/>
    <col min="10" max="10" width="17.140625" style="1" customWidth="1"/>
    <col min="11" max="11" width="16.140625" style="1" customWidth="1"/>
    <col min="12" max="12" width="17.28515625" style="1" customWidth="1"/>
    <col min="13" max="13" width="16.42578125" style="1" customWidth="1"/>
    <col min="14" max="16384" width="9.140625" style="1"/>
  </cols>
  <sheetData>
    <row r="1" spans="2:8">
      <c r="F1" s="2487" t="s">
        <v>143</v>
      </c>
      <c r="G1" s="2487"/>
    </row>
    <row r="2" spans="2:8">
      <c r="B2" s="2418" t="s">
        <v>343</v>
      </c>
      <c r="C2" s="2418"/>
      <c r="D2" s="2418"/>
      <c r="E2" s="2418"/>
      <c r="F2" s="2418"/>
      <c r="G2" s="2418"/>
      <c r="H2" s="2418"/>
    </row>
    <row r="3" spans="2:8">
      <c r="B3" s="2419" t="s">
        <v>1004</v>
      </c>
      <c r="C3" s="2419"/>
      <c r="D3" s="2419"/>
      <c r="E3" s="2419"/>
      <c r="F3" s="2419"/>
      <c r="G3" s="2419"/>
      <c r="H3" s="2419"/>
    </row>
    <row r="5" spans="2:8">
      <c r="B5" s="147" t="s">
        <v>190</v>
      </c>
    </row>
    <row r="6" spans="2:8" ht="15.75" hidden="1" customHeight="1">
      <c r="B6" s="579" t="s">
        <v>389</v>
      </c>
      <c r="C6" s="2669" t="s">
        <v>104</v>
      </c>
      <c r="D6" s="2669" t="s">
        <v>105</v>
      </c>
      <c r="E6" s="580" t="s">
        <v>389</v>
      </c>
      <c r="F6" s="581" t="s">
        <v>104</v>
      </c>
      <c r="G6" s="2671" t="s">
        <v>105</v>
      </c>
    </row>
    <row r="7" spans="2:8" ht="15.75" hidden="1" customHeight="1">
      <c r="B7" s="582"/>
      <c r="C7" s="2670"/>
      <c r="D7" s="2670"/>
      <c r="E7" s="583"/>
      <c r="F7" s="584"/>
      <c r="G7" s="2672"/>
    </row>
    <row r="8" spans="2:8" ht="15.75" hidden="1" customHeight="1">
      <c r="B8" s="585" t="s">
        <v>186</v>
      </c>
      <c r="C8" s="586"/>
      <c r="D8" s="346">
        <f>263+96</f>
        <v>359</v>
      </c>
      <c r="E8" s="346" t="s">
        <v>187</v>
      </c>
      <c r="F8" s="586"/>
      <c r="G8" s="348">
        <f>D28</f>
        <v>423</v>
      </c>
    </row>
    <row r="9" spans="2:8" ht="15.75" hidden="1" customHeight="1">
      <c r="B9" s="587">
        <v>1</v>
      </c>
      <c r="C9" s="346" t="s">
        <v>106</v>
      </c>
      <c r="D9" s="346">
        <v>4</v>
      </c>
      <c r="E9" s="346">
        <v>1</v>
      </c>
      <c r="F9" s="346" t="s">
        <v>124</v>
      </c>
      <c r="G9" s="348">
        <v>4</v>
      </c>
    </row>
    <row r="10" spans="2:8" ht="15.75" hidden="1" customHeight="1">
      <c r="B10" s="587">
        <v>2</v>
      </c>
      <c r="C10" s="346" t="s">
        <v>107</v>
      </c>
      <c r="D10" s="346">
        <v>3</v>
      </c>
      <c r="E10" s="346">
        <v>2</v>
      </c>
      <c r="F10" s="346" t="s">
        <v>125</v>
      </c>
      <c r="G10" s="348">
        <v>4</v>
      </c>
    </row>
    <row r="11" spans="2:8" hidden="1">
      <c r="B11" s="587">
        <v>3</v>
      </c>
      <c r="C11" s="346" t="s">
        <v>108</v>
      </c>
      <c r="D11" s="346">
        <v>4</v>
      </c>
      <c r="E11" s="346">
        <v>3</v>
      </c>
      <c r="F11" s="346" t="s">
        <v>126</v>
      </c>
      <c r="G11" s="348">
        <v>4</v>
      </c>
    </row>
    <row r="12" spans="2:8" hidden="1">
      <c r="B12" s="587">
        <v>4</v>
      </c>
      <c r="C12" s="346" t="s">
        <v>109</v>
      </c>
      <c r="D12" s="346">
        <v>3</v>
      </c>
      <c r="E12" s="346">
        <v>4</v>
      </c>
      <c r="F12" s="346" t="s">
        <v>127</v>
      </c>
      <c r="G12" s="348">
        <v>4</v>
      </c>
    </row>
    <row r="13" spans="2:8" hidden="1">
      <c r="B13" s="587">
        <v>5</v>
      </c>
      <c r="C13" s="346" t="s">
        <v>110</v>
      </c>
      <c r="D13" s="346">
        <v>4</v>
      </c>
      <c r="E13" s="346">
        <v>5</v>
      </c>
      <c r="F13" s="346" t="s">
        <v>128</v>
      </c>
      <c r="G13" s="348">
        <v>4</v>
      </c>
    </row>
    <row r="14" spans="2:8" hidden="1">
      <c r="B14" s="587">
        <v>6</v>
      </c>
      <c r="C14" s="346" t="s">
        <v>111</v>
      </c>
      <c r="D14" s="346">
        <v>4</v>
      </c>
      <c r="E14" s="346">
        <v>6</v>
      </c>
      <c r="F14" s="346" t="s">
        <v>129</v>
      </c>
      <c r="G14" s="348">
        <v>4</v>
      </c>
    </row>
    <row r="15" spans="2:8" hidden="1">
      <c r="B15" s="587">
        <v>7</v>
      </c>
      <c r="C15" s="346" t="s">
        <v>112</v>
      </c>
      <c r="D15" s="346">
        <v>4</v>
      </c>
      <c r="E15" s="346">
        <v>7</v>
      </c>
      <c r="F15" s="346" t="s">
        <v>130</v>
      </c>
      <c r="G15" s="348">
        <v>4</v>
      </c>
    </row>
    <row r="16" spans="2:8" hidden="1">
      <c r="B16" s="587">
        <v>8</v>
      </c>
      <c r="C16" s="346" t="s">
        <v>113</v>
      </c>
      <c r="D16" s="346">
        <v>4</v>
      </c>
      <c r="E16" s="346">
        <v>8</v>
      </c>
      <c r="F16" s="346" t="s">
        <v>131</v>
      </c>
      <c r="G16" s="348">
        <v>4</v>
      </c>
    </row>
    <row r="17" spans="2:8" hidden="1">
      <c r="B17" s="587">
        <v>9</v>
      </c>
      <c r="C17" s="346" t="s">
        <v>114</v>
      </c>
      <c r="D17" s="346">
        <v>3</v>
      </c>
      <c r="E17" s="346">
        <v>9</v>
      </c>
      <c r="F17" s="346" t="s">
        <v>132</v>
      </c>
      <c r="G17" s="348">
        <v>4</v>
      </c>
    </row>
    <row r="18" spans="2:8" hidden="1">
      <c r="B18" s="587">
        <v>10</v>
      </c>
      <c r="C18" s="346" t="s">
        <v>115</v>
      </c>
      <c r="D18" s="346">
        <v>4</v>
      </c>
      <c r="E18" s="346">
        <v>10</v>
      </c>
      <c r="F18" s="346" t="s">
        <v>133</v>
      </c>
      <c r="G18" s="348">
        <v>4</v>
      </c>
    </row>
    <row r="19" spans="2:8" hidden="1">
      <c r="B19" s="587">
        <v>11</v>
      </c>
      <c r="C19" s="346" t="s">
        <v>116</v>
      </c>
      <c r="D19" s="346">
        <v>3</v>
      </c>
      <c r="E19" s="346">
        <v>11</v>
      </c>
      <c r="F19" s="346" t="s">
        <v>134</v>
      </c>
      <c r="G19" s="348">
        <v>4</v>
      </c>
    </row>
    <row r="20" spans="2:8" hidden="1">
      <c r="B20" s="587">
        <v>12</v>
      </c>
      <c r="C20" s="346" t="s">
        <v>117</v>
      </c>
      <c r="D20" s="346">
        <v>4</v>
      </c>
      <c r="E20" s="346">
        <v>12</v>
      </c>
      <c r="F20" s="346" t="s">
        <v>135</v>
      </c>
      <c r="G20" s="348">
        <v>4</v>
      </c>
    </row>
    <row r="21" spans="2:8" hidden="1">
      <c r="B21" s="587">
        <v>13</v>
      </c>
      <c r="C21" s="346" t="s">
        <v>118</v>
      </c>
      <c r="D21" s="346">
        <v>3</v>
      </c>
      <c r="E21" s="346">
        <v>13</v>
      </c>
      <c r="F21" s="346" t="s">
        <v>136</v>
      </c>
      <c r="G21" s="348">
        <v>4</v>
      </c>
    </row>
    <row r="22" spans="2:8" hidden="1">
      <c r="B22" s="587">
        <v>14</v>
      </c>
      <c r="C22" s="346" t="s">
        <v>119</v>
      </c>
      <c r="D22" s="346">
        <v>4</v>
      </c>
      <c r="E22" s="346">
        <v>14</v>
      </c>
      <c r="F22" s="346" t="s">
        <v>139</v>
      </c>
      <c r="G22" s="348">
        <v>4</v>
      </c>
    </row>
    <row r="23" spans="2:8" hidden="1">
      <c r="B23" s="587">
        <v>15</v>
      </c>
      <c r="C23" s="346" t="s">
        <v>123</v>
      </c>
      <c r="D23" s="346">
        <v>4</v>
      </c>
      <c r="E23" s="346">
        <v>15</v>
      </c>
      <c r="F23" s="346" t="s">
        <v>137</v>
      </c>
      <c r="G23" s="348">
        <v>4</v>
      </c>
    </row>
    <row r="24" spans="2:8" hidden="1">
      <c r="B24" s="587">
        <v>16</v>
      </c>
      <c r="C24" s="346" t="s">
        <v>120</v>
      </c>
      <c r="D24" s="346">
        <v>4</v>
      </c>
      <c r="E24" s="346">
        <v>16</v>
      </c>
      <c r="F24" s="346" t="s">
        <v>138</v>
      </c>
      <c r="G24" s="348">
        <v>4</v>
      </c>
    </row>
    <row r="25" spans="2:8" hidden="1">
      <c r="B25" s="587">
        <v>17</v>
      </c>
      <c r="C25" s="346" t="s">
        <v>121</v>
      </c>
      <c r="D25" s="346">
        <v>2</v>
      </c>
      <c r="E25" s="346"/>
      <c r="F25" s="346"/>
      <c r="G25" s="348"/>
    </row>
    <row r="26" spans="2:8" hidden="1">
      <c r="B26" s="587">
        <v>18</v>
      </c>
      <c r="C26" s="346" t="s">
        <v>122</v>
      </c>
      <c r="D26" s="346">
        <v>3</v>
      </c>
      <c r="E26" s="346"/>
      <c r="F26" s="346"/>
      <c r="G26" s="348"/>
    </row>
    <row r="27" spans="2:8" hidden="1">
      <c r="B27" s="587"/>
      <c r="C27" s="346"/>
      <c r="D27" s="347">
        <f>SUM(D9:D26)</f>
        <v>64</v>
      </c>
      <c r="E27" s="347"/>
      <c r="F27" s="347"/>
      <c r="G27" s="534">
        <f>SUM(G9:G26)</f>
        <v>64</v>
      </c>
      <c r="H27" s="147"/>
    </row>
    <row r="28" spans="2:8" ht="16.5" hidden="1" thickBot="1">
      <c r="B28" s="588" t="s">
        <v>192</v>
      </c>
      <c r="C28" s="349"/>
      <c r="D28" s="349">
        <f>D27+D8</f>
        <v>423</v>
      </c>
      <c r="E28" s="349" t="s">
        <v>193</v>
      </c>
      <c r="F28" s="349"/>
      <c r="G28" s="350">
        <f>G27+G8</f>
        <v>487</v>
      </c>
    </row>
    <row r="29" spans="2:8" hidden="1"/>
    <row r="30" spans="2:8" hidden="1"/>
    <row r="31" spans="2:8" hidden="1">
      <c r="B31" s="1" t="s">
        <v>191</v>
      </c>
    </row>
    <row r="32" spans="2:8" hidden="1">
      <c r="B32" s="346"/>
      <c r="C32" s="589">
        <v>40182</v>
      </c>
      <c r="D32" s="590" t="s">
        <v>188</v>
      </c>
      <c r="E32" s="590" t="s">
        <v>189</v>
      </c>
    </row>
    <row r="33" spans="2:13" hidden="1">
      <c r="B33" s="347" t="s">
        <v>431</v>
      </c>
      <c r="C33" s="346">
        <f>402+219</f>
        <v>621</v>
      </c>
      <c r="D33" s="346">
        <f>425+235</f>
        <v>660</v>
      </c>
      <c r="E33" s="346">
        <f>448+251</f>
        <v>699</v>
      </c>
    </row>
    <row r="35" spans="2:13" ht="16.5" thickBot="1">
      <c r="B35" s="1" t="s">
        <v>1322</v>
      </c>
    </row>
    <row r="36" spans="2:13" ht="39.75" customHeight="1">
      <c r="B36" s="2663" t="s">
        <v>349</v>
      </c>
      <c r="C36" s="2665" t="s">
        <v>331</v>
      </c>
      <c r="D36" s="2667" t="s">
        <v>1034</v>
      </c>
      <c r="E36" s="2668"/>
      <c r="F36" s="2668"/>
      <c r="G36" s="2665"/>
      <c r="H36" s="2663" t="s">
        <v>1039</v>
      </c>
      <c r="I36" s="2668"/>
      <c r="J36" s="2668"/>
      <c r="K36" s="2668"/>
      <c r="L36" s="2665"/>
      <c r="M36" s="571" t="s">
        <v>1041</v>
      </c>
    </row>
    <row r="37" spans="2:13" ht="31.5">
      <c r="B37" s="2664"/>
      <c r="C37" s="2666"/>
      <c r="D37" s="296" t="s">
        <v>1228</v>
      </c>
      <c r="E37" s="496" t="s">
        <v>1036</v>
      </c>
      <c r="F37" s="295" t="s">
        <v>1038</v>
      </c>
      <c r="G37" s="573" t="s">
        <v>1037</v>
      </c>
      <c r="H37" s="572" t="s">
        <v>1228</v>
      </c>
      <c r="I37" s="496" t="s">
        <v>1036</v>
      </c>
      <c r="J37" s="496" t="s">
        <v>1229</v>
      </c>
      <c r="K37" s="496" t="s">
        <v>1230</v>
      </c>
      <c r="L37" s="573" t="s">
        <v>1231</v>
      </c>
      <c r="M37" s="302" t="s">
        <v>1040</v>
      </c>
    </row>
    <row r="38" spans="2:13" ht="16.5" thickBot="1">
      <c r="B38" s="497"/>
      <c r="C38" s="498" t="s">
        <v>1042</v>
      </c>
      <c r="D38" s="544">
        <v>1</v>
      </c>
      <c r="E38" s="500">
        <v>2</v>
      </c>
      <c r="F38" s="500">
        <v>3</v>
      </c>
      <c r="G38" s="501">
        <v>4</v>
      </c>
      <c r="H38" s="499">
        <v>5</v>
      </c>
      <c r="I38" s="500">
        <v>6</v>
      </c>
      <c r="J38" s="500">
        <v>7</v>
      </c>
      <c r="K38" s="500">
        <v>8</v>
      </c>
      <c r="L38" s="501" t="s">
        <v>1043</v>
      </c>
      <c r="M38" s="502">
        <v>10</v>
      </c>
    </row>
    <row r="39" spans="2:13" ht="32.25" customHeight="1">
      <c r="B39" s="591">
        <v>1</v>
      </c>
      <c r="C39" s="592" t="s">
        <v>103</v>
      </c>
      <c r="D39" s="525">
        <v>359</v>
      </c>
      <c r="E39" s="545" t="s">
        <v>1320</v>
      </c>
      <c r="F39" s="545" t="s">
        <v>1320</v>
      </c>
      <c r="G39" s="593">
        <v>403</v>
      </c>
      <c r="H39" s="575">
        <v>423</v>
      </c>
      <c r="I39" s="526" t="s">
        <v>1320</v>
      </c>
      <c r="J39" s="545">
        <v>422</v>
      </c>
      <c r="K39" s="526">
        <v>6</v>
      </c>
      <c r="L39" s="527">
        <v>428</v>
      </c>
      <c r="M39" s="594">
        <v>25</v>
      </c>
    </row>
    <row r="40" spans="2:13" ht="31.5" customHeight="1">
      <c r="B40" s="587">
        <v>2</v>
      </c>
      <c r="C40" s="534" t="s">
        <v>431</v>
      </c>
      <c r="D40" s="524">
        <v>621</v>
      </c>
      <c r="E40" s="91" t="s">
        <v>1320</v>
      </c>
      <c r="F40" s="91" t="s">
        <v>1320</v>
      </c>
      <c r="G40" s="82">
        <v>660</v>
      </c>
      <c r="H40" s="576">
        <v>660</v>
      </c>
      <c r="I40" s="346" t="s">
        <v>1320</v>
      </c>
      <c r="J40" s="91">
        <v>660</v>
      </c>
      <c r="K40" s="595" t="s">
        <v>1416</v>
      </c>
      <c r="L40" s="348">
        <v>660</v>
      </c>
      <c r="M40" s="351">
        <v>5</v>
      </c>
    </row>
    <row r="41" spans="2:13" ht="32.25" customHeight="1" thickBot="1">
      <c r="B41" s="588"/>
      <c r="C41" s="596" t="s">
        <v>287</v>
      </c>
      <c r="D41" s="597">
        <f>SUM(D39:D40)</f>
        <v>980</v>
      </c>
      <c r="E41" s="535" t="s">
        <v>1320</v>
      </c>
      <c r="F41" s="535" t="s">
        <v>1320</v>
      </c>
      <c r="G41" s="598">
        <v>1063</v>
      </c>
      <c r="H41" s="577">
        <f>SUM(H39:H40)</f>
        <v>1083</v>
      </c>
      <c r="I41" s="349" t="s">
        <v>1320</v>
      </c>
      <c r="J41" s="535">
        <v>1082</v>
      </c>
      <c r="K41" s="349">
        <v>6</v>
      </c>
      <c r="L41" s="350">
        <v>1088</v>
      </c>
      <c r="M41" s="352">
        <v>30</v>
      </c>
    </row>
    <row r="44" spans="2:13">
      <c r="B44" s="1" t="s">
        <v>1323</v>
      </c>
    </row>
    <row r="45" spans="2:13" ht="16.5" thickBot="1"/>
    <row r="46" spans="2:13" ht="31.5">
      <c r="B46" s="2663" t="s">
        <v>349</v>
      </c>
      <c r="C46" s="2665" t="s">
        <v>331</v>
      </c>
      <c r="D46" s="2667" t="s">
        <v>1034</v>
      </c>
      <c r="E46" s="2668"/>
      <c r="F46" s="2668"/>
      <c r="G46" s="2665"/>
      <c r="H46" s="2663" t="s">
        <v>1039</v>
      </c>
      <c r="I46" s="2668"/>
      <c r="J46" s="2668"/>
      <c r="K46" s="2668"/>
      <c r="L46" s="2665"/>
      <c r="M46" s="571" t="s">
        <v>1041</v>
      </c>
    </row>
    <row r="47" spans="2:13" ht="31.5">
      <c r="B47" s="2664"/>
      <c r="C47" s="2666"/>
      <c r="D47" s="296" t="s">
        <v>1228</v>
      </c>
      <c r="E47" s="496" t="s">
        <v>1036</v>
      </c>
      <c r="F47" s="295" t="s">
        <v>1038</v>
      </c>
      <c r="G47" s="573" t="s">
        <v>1037</v>
      </c>
      <c r="H47" s="572" t="s">
        <v>1228</v>
      </c>
      <c r="I47" s="496" t="s">
        <v>1036</v>
      </c>
      <c r="J47" s="496" t="s">
        <v>1229</v>
      </c>
      <c r="K47" s="496" t="s">
        <v>1230</v>
      </c>
      <c r="L47" s="573" t="s">
        <v>1231</v>
      </c>
      <c r="M47" s="302" t="s">
        <v>1040</v>
      </c>
    </row>
    <row r="48" spans="2:13" ht="16.5" thickBot="1">
      <c r="B48" s="497"/>
      <c r="C48" s="498" t="s">
        <v>1042</v>
      </c>
      <c r="D48" s="544">
        <v>1</v>
      </c>
      <c r="E48" s="500">
        <v>2</v>
      </c>
      <c r="F48" s="500">
        <v>3</v>
      </c>
      <c r="G48" s="501">
        <v>4</v>
      </c>
      <c r="H48" s="499">
        <v>5</v>
      </c>
      <c r="I48" s="500">
        <v>6</v>
      </c>
      <c r="J48" s="500">
        <v>7</v>
      </c>
      <c r="K48" s="500">
        <v>8</v>
      </c>
      <c r="L48" s="501" t="s">
        <v>1043</v>
      </c>
      <c r="M48" s="502">
        <v>10</v>
      </c>
    </row>
    <row r="49" spans="2:13" ht="30.75" customHeight="1">
      <c r="B49" s="591">
        <v>1</v>
      </c>
      <c r="C49" s="592" t="s">
        <v>103</v>
      </c>
      <c r="D49" s="525">
        <v>64</v>
      </c>
      <c r="E49" s="545" t="s">
        <v>1320</v>
      </c>
      <c r="F49" s="545" t="s">
        <v>1320</v>
      </c>
      <c r="G49" s="593">
        <v>64</v>
      </c>
      <c r="H49" s="575">
        <v>64</v>
      </c>
      <c r="I49" s="526" t="s">
        <v>1320</v>
      </c>
      <c r="J49" s="545">
        <v>19</v>
      </c>
      <c r="K49" s="526">
        <v>6</v>
      </c>
      <c r="L49" s="527">
        <v>25</v>
      </c>
      <c r="M49" s="594">
        <v>25</v>
      </c>
    </row>
    <row r="50" spans="2:13" ht="31.5" customHeight="1">
      <c r="B50" s="587">
        <v>2</v>
      </c>
      <c r="C50" s="534" t="s">
        <v>431</v>
      </c>
      <c r="D50" s="524">
        <v>39</v>
      </c>
      <c r="E50" s="91" t="s">
        <v>1320</v>
      </c>
      <c r="F50" s="91" t="s">
        <v>1320</v>
      </c>
      <c r="G50" s="82">
        <v>39</v>
      </c>
      <c r="H50" s="576">
        <v>39</v>
      </c>
      <c r="I50" s="346" t="s">
        <v>1320</v>
      </c>
      <c r="J50" s="599" t="s">
        <v>1416</v>
      </c>
      <c r="K50" s="595" t="s">
        <v>1416</v>
      </c>
      <c r="L50" s="600" t="s">
        <v>1416</v>
      </c>
      <c r="M50" s="351">
        <v>5</v>
      </c>
    </row>
    <row r="51" spans="2:13" ht="31.5" customHeight="1" thickBot="1">
      <c r="B51" s="588"/>
      <c r="C51" s="596" t="s">
        <v>287</v>
      </c>
      <c r="D51" s="597">
        <f>SUM(D49:D50)</f>
        <v>103</v>
      </c>
      <c r="E51" s="535" t="s">
        <v>1320</v>
      </c>
      <c r="F51" s="535" t="s">
        <v>1320</v>
      </c>
      <c r="G51" s="598">
        <v>103</v>
      </c>
      <c r="H51" s="577">
        <f>SUM(H49:H50)</f>
        <v>103</v>
      </c>
      <c r="I51" s="349" t="s">
        <v>1320</v>
      </c>
      <c r="J51" s="535">
        <v>19</v>
      </c>
      <c r="K51" s="349">
        <v>6</v>
      </c>
      <c r="L51" s="350">
        <v>25</v>
      </c>
      <c r="M51" s="352">
        <v>30</v>
      </c>
    </row>
    <row r="56" spans="2:13" ht="32.25" customHeight="1"/>
    <row r="57" spans="2:13">
      <c r="L57" s="2674" t="s">
        <v>1417</v>
      </c>
      <c r="M57" s="2674"/>
    </row>
    <row r="58" spans="2:13">
      <c r="L58" s="2674"/>
      <c r="M58" s="2674"/>
    </row>
    <row r="59" spans="2:13">
      <c r="L59" s="2674"/>
      <c r="M59" s="2674"/>
    </row>
    <row r="60" spans="2:13">
      <c r="L60" s="2674"/>
      <c r="M60" s="2674"/>
    </row>
  </sheetData>
  <mergeCells count="15">
    <mergeCell ref="F1:G1"/>
    <mergeCell ref="B2:H2"/>
    <mergeCell ref="B3:H3"/>
    <mergeCell ref="C6:C7"/>
    <mergeCell ref="D6:D7"/>
    <mergeCell ref="G6:G7"/>
    <mergeCell ref="L57:M60"/>
    <mergeCell ref="B36:B37"/>
    <mergeCell ref="C36:C37"/>
    <mergeCell ref="D36:G36"/>
    <mergeCell ref="H36:L36"/>
    <mergeCell ref="B46:B47"/>
    <mergeCell ref="C46:C47"/>
    <mergeCell ref="D46:G46"/>
    <mergeCell ref="H46:L46"/>
  </mergeCells>
  <printOptions horizontalCentered="1"/>
  <pageMargins left="0.7" right="0.7" top="0.75" bottom="0.75" header="0.3" footer="0.3"/>
  <pageSetup paperSize="9" scale="71" orientation="landscape" r:id="rId1"/>
  <headerFooter>
    <oddHeader>&amp;R&amp;F</oddHeader>
    <oddFooter>&amp;L&amp;P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topLeftCell="E19" workbookViewId="0">
      <selection activeCell="I35" sqref="I35"/>
    </sheetView>
  </sheetViews>
  <sheetFormatPr defaultRowHeight="15.75"/>
  <cols>
    <col min="1" max="2" width="9.140625" style="1"/>
    <col min="3" max="3" width="20" style="1" customWidth="1"/>
    <col min="4" max="4" width="16" style="1" bestFit="1" customWidth="1"/>
    <col min="5" max="5" width="13.7109375" style="1" customWidth="1"/>
    <col min="6" max="6" width="20.5703125" style="1" customWidth="1"/>
    <col min="7" max="7" width="15.85546875" style="1" customWidth="1"/>
    <col min="8" max="8" width="19.140625" style="1" customWidth="1"/>
    <col min="9" max="9" width="14.85546875" style="1" customWidth="1"/>
    <col min="10" max="10" width="20.140625" style="1" customWidth="1"/>
    <col min="11" max="11" width="17" style="1" customWidth="1"/>
    <col min="12" max="12" width="17.140625" style="1" customWidth="1"/>
    <col min="13" max="13" width="14.5703125" style="1" customWidth="1"/>
    <col min="14" max="16384" width="9.140625" style="1"/>
  </cols>
  <sheetData>
    <row r="1" spans="2:8">
      <c r="F1" s="9" t="s">
        <v>144</v>
      </c>
      <c r="G1" s="9"/>
    </row>
    <row r="2" spans="2:8">
      <c r="B2" s="2418" t="s">
        <v>343</v>
      </c>
      <c r="C2" s="2418"/>
      <c r="D2" s="2418"/>
      <c r="E2" s="2418"/>
      <c r="F2" s="2418"/>
      <c r="G2" s="2418"/>
      <c r="H2" s="2418"/>
    </row>
    <row r="3" spans="2:8">
      <c r="B3" s="2419" t="s">
        <v>1004</v>
      </c>
      <c r="C3" s="2419"/>
      <c r="D3" s="2419"/>
      <c r="E3" s="2419"/>
      <c r="F3" s="2419"/>
      <c r="G3" s="2419"/>
      <c r="H3" s="2419"/>
    </row>
    <row r="5" spans="2:8">
      <c r="B5" s="147" t="s">
        <v>140</v>
      </c>
    </row>
    <row r="6" spans="2:8" hidden="1"/>
    <row r="7" spans="2:8" hidden="1">
      <c r="B7" s="147" t="s">
        <v>341</v>
      </c>
    </row>
    <row r="8" spans="2:8" hidden="1">
      <c r="B8" s="601" t="s">
        <v>394</v>
      </c>
      <c r="C8" s="602" t="s">
        <v>141</v>
      </c>
      <c r="D8" s="602" t="s">
        <v>436</v>
      </c>
      <c r="E8" s="602" t="s">
        <v>397</v>
      </c>
      <c r="F8" s="603" t="s">
        <v>142</v>
      </c>
    </row>
    <row r="9" spans="2:8" hidden="1">
      <c r="B9" s="587">
        <v>1</v>
      </c>
      <c r="C9" s="346" t="s">
        <v>431</v>
      </c>
      <c r="D9" s="346">
        <v>80</v>
      </c>
      <c r="E9" s="346">
        <v>-3</v>
      </c>
      <c r="F9" s="534">
        <f>SUM(D9:E9)</f>
        <v>77</v>
      </c>
    </row>
    <row r="10" spans="2:8" ht="16.5" hidden="1" thickBot="1">
      <c r="B10" s="604">
        <v>2</v>
      </c>
      <c r="C10" s="349" t="s">
        <v>103</v>
      </c>
      <c r="D10" s="349">
        <v>52</v>
      </c>
      <c r="E10" s="349">
        <v>18</v>
      </c>
      <c r="F10" s="596">
        <f>SUM(D10:E10)</f>
        <v>70</v>
      </c>
    </row>
    <row r="11" spans="2:8" hidden="1">
      <c r="B11" s="605"/>
    </row>
    <row r="12" spans="2:8" hidden="1">
      <c r="B12" s="574" t="s">
        <v>342</v>
      </c>
    </row>
    <row r="13" spans="2:8" hidden="1">
      <c r="B13" s="601" t="s">
        <v>394</v>
      </c>
      <c r="C13" s="602" t="s">
        <v>141</v>
      </c>
      <c r="D13" s="602" t="s">
        <v>436</v>
      </c>
      <c r="E13" s="602" t="s">
        <v>397</v>
      </c>
      <c r="F13" s="603" t="s">
        <v>142</v>
      </c>
    </row>
    <row r="14" spans="2:8" hidden="1">
      <c r="B14" s="587">
        <v>1</v>
      </c>
      <c r="C14" s="346" t="s">
        <v>431</v>
      </c>
      <c r="D14" s="346">
        <f>F9</f>
        <v>77</v>
      </c>
      <c r="E14" s="346">
        <v>-3</v>
      </c>
      <c r="F14" s="534">
        <f>SUM(D14:E14)</f>
        <v>74</v>
      </c>
    </row>
    <row r="15" spans="2:8" ht="16.5" hidden="1" thickBot="1">
      <c r="B15" s="604">
        <v>2</v>
      </c>
      <c r="C15" s="349" t="s">
        <v>103</v>
      </c>
      <c r="D15" s="349">
        <f>F10</f>
        <v>70</v>
      </c>
      <c r="E15" s="349">
        <v>16</v>
      </c>
      <c r="F15" s="596">
        <f>SUM(D15:E15)</f>
        <v>86</v>
      </c>
    </row>
    <row r="16" spans="2:8">
      <c r="B16" s="605"/>
    </row>
    <row r="17" spans="2:13" ht="16.5" thickBot="1">
      <c r="B17" s="1" t="s">
        <v>1324</v>
      </c>
      <c r="F17" s="1" t="s">
        <v>1954</v>
      </c>
      <c r="J17" s="1" t="s">
        <v>1955</v>
      </c>
    </row>
    <row r="18" spans="2:13" ht="36" customHeight="1">
      <c r="B18" s="2663" t="s">
        <v>349</v>
      </c>
      <c r="C18" s="2665" t="s">
        <v>331</v>
      </c>
      <c r="D18" s="2667" t="s">
        <v>1034</v>
      </c>
      <c r="E18" s="2668"/>
      <c r="F18" s="2668"/>
      <c r="G18" s="2665"/>
      <c r="H18" s="2663" t="s">
        <v>1039</v>
      </c>
      <c r="I18" s="2668"/>
      <c r="J18" s="2668"/>
      <c r="K18" s="2668"/>
      <c r="L18" s="2665"/>
      <c r="M18" s="963" t="s">
        <v>1041</v>
      </c>
    </row>
    <row r="19" spans="2:13" ht="31.5">
      <c r="B19" s="2664"/>
      <c r="C19" s="2666"/>
      <c r="D19" s="296" t="s">
        <v>1228</v>
      </c>
      <c r="E19" s="968" t="s">
        <v>1036</v>
      </c>
      <c r="F19" s="295" t="s">
        <v>1038</v>
      </c>
      <c r="G19" s="965" t="s">
        <v>1037</v>
      </c>
      <c r="H19" s="964" t="s">
        <v>1228</v>
      </c>
      <c r="I19" s="968" t="s">
        <v>1036</v>
      </c>
      <c r="J19" s="968" t="s">
        <v>1229</v>
      </c>
      <c r="K19" s="968" t="s">
        <v>1230</v>
      </c>
      <c r="L19" s="965" t="s">
        <v>1231</v>
      </c>
      <c r="M19" s="302" t="s">
        <v>1040</v>
      </c>
    </row>
    <row r="20" spans="2:13" ht="16.5" thickBot="1">
      <c r="B20" s="497"/>
      <c r="C20" s="498" t="s">
        <v>1042</v>
      </c>
      <c r="D20" s="544">
        <v>1</v>
      </c>
      <c r="E20" s="500">
        <v>2</v>
      </c>
      <c r="F20" s="500">
        <v>3</v>
      </c>
      <c r="G20" s="501">
        <v>4</v>
      </c>
      <c r="H20" s="499">
        <v>5</v>
      </c>
      <c r="I20" s="500">
        <v>6</v>
      </c>
      <c r="J20" s="500">
        <v>7</v>
      </c>
      <c r="K20" s="500">
        <v>8</v>
      </c>
      <c r="L20" s="501" t="s">
        <v>1043</v>
      </c>
      <c r="M20" s="502">
        <v>10</v>
      </c>
    </row>
    <row r="21" spans="2:13">
      <c r="B21" s="591">
        <v>1</v>
      </c>
      <c r="C21" s="592" t="s">
        <v>103</v>
      </c>
      <c r="D21" s="525">
        <v>52</v>
      </c>
      <c r="E21" s="545" t="s">
        <v>1320</v>
      </c>
      <c r="F21" s="545" t="s">
        <v>1320</v>
      </c>
      <c r="G21" s="977">
        <v>52</v>
      </c>
      <c r="H21" s="575">
        <v>70</v>
      </c>
      <c r="I21" s="526" t="s">
        <v>1320</v>
      </c>
      <c r="J21" s="545"/>
      <c r="K21" s="526"/>
      <c r="L21" s="527">
        <v>62</v>
      </c>
      <c r="M21" s="594">
        <v>73</v>
      </c>
    </row>
    <row r="22" spans="2:13">
      <c r="B22" s="587">
        <v>2</v>
      </c>
      <c r="C22" s="534" t="s">
        <v>431</v>
      </c>
      <c r="D22" s="524">
        <v>80</v>
      </c>
      <c r="E22" s="91" t="s">
        <v>1320</v>
      </c>
      <c r="F22" s="91" t="s">
        <v>1320</v>
      </c>
      <c r="G22" s="978">
        <v>80</v>
      </c>
      <c r="H22" s="576">
        <v>77</v>
      </c>
      <c r="I22" s="346" t="s">
        <v>1320</v>
      </c>
      <c r="J22" s="91"/>
      <c r="K22" s="346"/>
      <c r="L22" s="348">
        <v>80</v>
      </c>
      <c r="M22" s="351">
        <v>80</v>
      </c>
    </row>
    <row r="23" spans="2:13" ht="16.5" thickBot="1">
      <c r="B23" s="588"/>
      <c r="C23" s="596" t="s">
        <v>287</v>
      </c>
      <c r="D23" s="597">
        <f>SUM(D21:D22)</f>
        <v>132</v>
      </c>
      <c r="E23" s="535" t="s">
        <v>1320</v>
      </c>
      <c r="F23" s="535" t="s">
        <v>1320</v>
      </c>
      <c r="G23" s="979">
        <v>132</v>
      </c>
      <c r="H23" s="980">
        <f>SUM(H21:H22)</f>
        <v>147</v>
      </c>
      <c r="I23" s="349" t="s">
        <v>1320</v>
      </c>
      <c r="J23" s="535"/>
      <c r="K23" s="349"/>
      <c r="L23" s="350">
        <v>142</v>
      </c>
      <c r="M23" s="352">
        <v>153</v>
      </c>
    </row>
    <row r="25" spans="2:13">
      <c r="B25" s="1" t="s">
        <v>1325</v>
      </c>
    </row>
    <row r="26" spans="2:13" ht="16.5" thickBot="1"/>
    <row r="27" spans="2:13" ht="31.5">
      <c r="B27" s="2663" t="s">
        <v>349</v>
      </c>
      <c r="C27" s="2665" t="s">
        <v>331</v>
      </c>
      <c r="D27" s="2667" t="s">
        <v>1034</v>
      </c>
      <c r="E27" s="2668"/>
      <c r="F27" s="2668"/>
      <c r="G27" s="2665"/>
      <c r="H27" s="2663" t="s">
        <v>1039</v>
      </c>
      <c r="I27" s="2668"/>
      <c r="J27" s="2668"/>
      <c r="K27" s="2668"/>
      <c r="L27" s="2665"/>
      <c r="M27" s="963" t="s">
        <v>1041</v>
      </c>
    </row>
    <row r="28" spans="2:13" ht="31.5">
      <c r="B28" s="2664"/>
      <c r="C28" s="2666"/>
      <c r="D28" s="296" t="s">
        <v>1228</v>
      </c>
      <c r="E28" s="968" t="s">
        <v>1036</v>
      </c>
      <c r="F28" s="295" t="s">
        <v>1038</v>
      </c>
      <c r="G28" s="965" t="s">
        <v>1037</v>
      </c>
      <c r="H28" s="964" t="s">
        <v>1228</v>
      </c>
      <c r="I28" s="968" t="s">
        <v>1036</v>
      </c>
      <c r="J28" s="968" t="s">
        <v>1229</v>
      </c>
      <c r="K28" s="968" t="s">
        <v>1230</v>
      </c>
      <c r="L28" s="965" t="s">
        <v>1231</v>
      </c>
      <c r="M28" s="302" t="s">
        <v>1040</v>
      </c>
    </row>
    <row r="29" spans="2:13" ht="16.5" thickBot="1">
      <c r="B29" s="497"/>
      <c r="C29" s="498" t="s">
        <v>1042</v>
      </c>
      <c r="D29" s="544">
        <v>1</v>
      </c>
      <c r="E29" s="500">
        <v>2</v>
      </c>
      <c r="F29" s="500">
        <v>3</v>
      </c>
      <c r="G29" s="501">
        <v>4</v>
      </c>
      <c r="H29" s="499">
        <v>5</v>
      </c>
      <c r="I29" s="500">
        <v>6</v>
      </c>
      <c r="J29" s="500">
        <v>7</v>
      </c>
      <c r="K29" s="500">
        <v>8</v>
      </c>
      <c r="L29" s="501" t="s">
        <v>1043</v>
      </c>
      <c r="M29" s="502">
        <v>10</v>
      </c>
    </row>
    <row r="30" spans="2:13">
      <c r="B30" s="591">
        <v>1</v>
      </c>
      <c r="C30" s="592" t="s">
        <v>103</v>
      </c>
      <c r="D30" s="525">
        <v>18</v>
      </c>
      <c r="E30" s="545" t="s">
        <v>1320</v>
      </c>
      <c r="F30" s="545" t="s">
        <v>1320</v>
      </c>
      <c r="G30" s="977">
        <v>10</v>
      </c>
      <c r="H30" s="575">
        <v>16</v>
      </c>
      <c r="I30" s="526" t="s">
        <v>1320</v>
      </c>
      <c r="J30" s="981">
        <v>3</v>
      </c>
      <c r="K30" s="526">
        <v>8</v>
      </c>
      <c r="L30" s="527">
        <v>11</v>
      </c>
      <c r="M30" s="594">
        <v>17</v>
      </c>
    </row>
    <row r="31" spans="2:13">
      <c r="B31" s="587">
        <v>2</v>
      </c>
      <c r="C31" s="534" t="s">
        <v>431</v>
      </c>
      <c r="D31" s="524">
        <v>-3</v>
      </c>
      <c r="E31" s="91" t="s">
        <v>1320</v>
      </c>
      <c r="F31" s="91" t="s">
        <v>1320</v>
      </c>
      <c r="G31" s="978">
        <v>0</v>
      </c>
      <c r="H31" s="576">
        <v>-3</v>
      </c>
      <c r="I31" s="346" t="s">
        <v>1320</v>
      </c>
      <c r="J31" s="982">
        <v>0</v>
      </c>
      <c r="K31" s="346">
        <v>0</v>
      </c>
      <c r="L31" s="348">
        <v>0</v>
      </c>
      <c r="M31" s="606" t="s">
        <v>1956</v>
      </c>
    </row>
    <row r="32" spans="2:13" ht="16.5" thickBot="1">
      <c r="B32" s="588"/>
      <c r="C32" s="596" t="s">
        <v>287</v>
      </c>
      <c r="D32" s="597">
        <f>SUM(D30:D31)</f>
        <v>15</v>
      </c>
      <c r="E32" s="535" t="s">
        <v>1320</v>
      </c>
      <c r="F32" s="535" t="s">
        <v>1320</v>
      </c>
      <c r="G32" s="979">
        <v>10</v>
      </c>
      <c r="H32" s="577">
        <f>SUM(H30:H31)</f>
        <v>13</v>
      </c>
      <c r="I32" s="349" t="s">
        <v>1320</v>
      </c>
      <c r="J32" s="983">
        <v>3</v>
      </c>
      <c r="K32" s="349">
        <v>8</v>
      </c>
      <c r="L32" s="350">
        <v>11</v>
      </c>
      <c r="M32" s="352">
        <v>12</v>
      </c>
    </row>
  </sheetData>
  <mergeCells count="10">
    <mergeCell ref="B27:B28"/>
    <mergeCell ref="C27:C28"/>
    <mergeCell ref="D27:G27"/>
    <mergeCell ref="H27:L27"/>
    <mergeCell ref="B2:H2"/>
    <mergeCell ref="B3:H3"/>
    <mergeCell ref="B18:B19"/>
    <mergeCell ref="C18:C19"/>
    <mergeCell ref="D18:G18"/>
    <mergeCell ref="H18:L18"/>
  </mergeCells>
  <printOptions horizontalCentered="1"/>
  <pageMargins left="0.7" right="0.7" top="0.75" bottom="0.75" header="0.3" footer="0.3"/>
  <pageSetup paperSize="9" scale="63" orientation="landscape" r:id="rId1"/>
  <headerFooter>
    <oddHeader>&amp;R&amp;F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1"/>
  <sheetViews>
    <sheetView workbookViewId="0">
      <selection activeCell="I12" sqref="I12"/>
    </sheetView>
  </sheetViews>
  <sheetFormatPr defaultRowHeight="15.75"/>
  <cols>
    <col min="1" max="1" width="5.85546875" style="97" customWidth="1"/>
    <col min="2" max="2" width="4.28515625" style="97" hidden="1" customWidth="1"/>
    <col min="3" max="3" width="22.85546875" style="97" hidden="1" customWidth="1"/>
    <col min="4" max="4" width="12.5703125" style="97" hidden="1" customWidth="1"/>
    <col min="5" max="5" width="11.85546875" style="97" hidden="1" customWidth="1"/>
    <col min="6" max="6" width="11.140625" style="97" hidden="1" customWidth="1"/>
    <col min="7" max="7" width="2.28515625" style="97" hidden="1" customWidth="1"/>
    <col min="8" max="8" width="7" style="97" customWidth="1"/>
    <col min="9" max="9" width="37.28515625" style="97" customWidth="1"/>
    <col min="10" max="10" width="15.42578125" style="97" customWidth="1"/>
    <col min="11" max="11" width="18.85546875" style="97" customWidth="1"/>
    <col min="12" max="12" width="17.85546875" style="97" customWidth="1"/>
    <col min="13" max="13" width="9.140625" style="97"/>
    <col min="14" max="14" width="9.140625" style="232"/>
    <col min="15" max="15" width="11" style="97" bestFit="1" customWidth="1"/>
    <col min="16" max="16384" width="9.140625" style="97"/>
  </cols>
  <sheetData>
    <row r="1" spans="2:15" ht="15.75" customHeight="1">
      <c r="B1" s="2418" t="s">
        <v>343</v>
      </c>
      <c r="C1" s="2418"/>
      <c r="D1" s="2418"/>
      <c r="E1" s="2418"/>
      <c r="F1" s="2418"/>
      <c r="G1" s="167"/>
      <c r="H1" s="2418" t="s">
        <v>343</v>
      </c>
      <c r="I1" s="2418"/>
      <c r="J1" s="2418"/>
      <c r="K1" s="2418"/>
      <c r="L1" s="2418"/>
      <c r="M1" s="167"/>
    </row>
    <row r="2" spans="2:15" ht="15.75" customHeight="1">
      <c r="B2" s="2419" t="s">
        <v>298</v>
      </c>
      <c r="C2" s="2419"/>
      <c r="D2" s="2419"/>
      <c r="E2" s="2419"/>
      <c r="F2" s="2419"/>
      <c r="G2" s="150"/>
      <c r="H2" s="2419" t="s">
        <v>298</v>
      </c>
      <c r="I2" s="2419"/>
      <c r="J2" s="2419"/>
      <c r="K2" s="2419"/>
      <c r="L2" s="2419"/>
      <c r="M2" s="150"/>
    </row>
    <row r="3" spans="2:15">
      <c r="B3" s="2430" t="s">
        <v>168</v>
      </c>
      <c r="C3" s="2430"/>
      <c r="D3" s="2430"/>
      <c r="E3" s="2430"/>
      <c r="F3" s="2430"/>
      <c r="H3" s="2430" t="s">
        <v>168</v>
      </c>
      <c r="I3" s="2430"/>
      <c r="J3" s="2430"/>
      <c r="K3" s="2430"/>
      <c r="L3" s="2430"/>
    </row>
    <row r="4" spans="2:15" ht="16.5" thickBot="1">
      <c r="B4" s="102" t="s">
        <v>166</v>
      </c>
      <c r="H4" s="102" t="s">
        <v>167</v>
      </c>
    </row>
    <row r="5" spans="2:15">
      <c r="B5" s="2424" t="s">
        <v>394</v>
      </c>
      <c r="C5" s="2424" t="s">
        <v>423</v>
      </c>
      <c r="D5" s="2421" t="e">
        <f>#REF!</f>
        <v>#REF!</v>
      </c>
      <c r="E5" s="2421" t="e">
        <f>#REF!</f>
        <v>#REF!</v>
      </c>
      <c r="F5" s="2421" t="e">
        <f>#REF!</f>
        <v>#REF!</v>
      </c>
      <c r="G5" s="233"/>
      <c r="H5" s="2426" t="s">
        <v>394</v>
      </c>
      <c r="I5" s="2428" t="s">
        <v>423</v>
      </c>
      <c r="J5" s="2420" t="s">
        <v>382</v>
      </c>
      <c r="K5" s="2420" t="s">
        <v>214</v>
      </c>
      <c r="L5" s="2422" t="s">
        <v>280</v>
      </c>
    </row>
    <row r="6" spans="2:15" ht="30" customHeight="1">
      <c r="B6" s="2425"/>
      <c r="C6" s="2425"/>
      <c r="D6" s="2421"/>
      <c r="E6" s="2421"/>
      <c r="F6" s="2421"/>
      <c r="G6" s="233"/>
      <c r="H6" s="2427"/>
      <c r="I6" s="2429"/>
      <c r="J6" s="2421"/>
      <c r="K6" s="2421"/>
      <c r="L6" s="2423"/>
    </row>
    <row r="7" spans="2:15">
      <c r="B7" s="101">
        <v>1</v>
      </c>
      <c r="C7" s="156" t="s">
        <v>160</v>
      </c>
      <c r="D7" s="180" t="e">
        <f>#REF!</f>
        <v>#REF!</v>
      </c>
      <c r="E7" s="157" t="e">
        <f>#REF!</f>
        <v>#REF!</v>
      </c>
      <c r="F7" s="157" t="e">
        <f>#REF!</f>
        <v>#REF!</v>
      </c>
      <c r="G7" s="233"/>
      <c r="H7" s="161">
        <v>1</v>
      </c>
      <c r="I7" s="156" t="s">
        <v>160</v>
      </c>
      <c r="J7" s="156" t="e">
        <f>D7</f>
        <v>#REF!</v>
      </c>
      <c r="K7" s="157" t="e">
        <f>#REF!</f>
        <v>#REF!</v>
      </c>
      <c r="L7" s="209" t="e">
        <f>#REF!</f>
        <v>#REF!</v>
      </c>
      <c r="N7" s="234"/>
    </row>
    <row r="8" spans="2:15">
      <c r="B8" s="101">
        <v>2</v>
      </c>
      <c r="C8" s="156" t="s">
        <v>161</v>
      </c>
      <c r="D8" s="157" t="e">
        <f>D7/12</f>
        <v>#REF!</v>
      </c>
      <c r="E8" s="157" t="e">
        <f>E7/12</f>
        <v>#REF!</v>
      </c>
      <c r="F8" s="157" t="e">
        <f>F7/12</f>
        <v>#REF!</v>
      </c>
      <c r="G8" s="233"/>
      <c r="H8" s="161">
        <v>2</v>
      </c>
      <c r="I8" s="156" t="s">
        <v>161</v>
      </c>
      <c r="J8" s="157" t="e">
        <f>J7/12</f>
        <v>#REF!</v>
      </c>
      <c r="K8" s="157" t="e">
        <f>K7/12</f>
        <v>#REF!</v>
      </c>
      <c r="L8" s="209" t="e">
        <f>L7/12</f>
        <v>#REF!</v>
      </c>
    </row>
    <row r="9" spans="2:15">
      <c r="B9" s="101">
        <v>3</v>
      </c>
      <c r="C9" s="156" t="s">
        <v>162</v>
      </c>
      <c r="D9" s="157">
        <v>7790.5</v>
      </c>
      <c r="E9" s="157">
        <v>6770.3428477306988</v>
      </c>
      <c r="F9" s="157">
        <v>7504.4223839596834</v>
      </c>
      <c r="G9" s="233"/>
      <c r="H9" s="161">
        <v>3</v>
      </c>
      <c r="I9" s="156" t="s">
        <v>162</v>
      </c>
      <c r="J9" s="157">
        <v>7790.5</v>
      </c>
      <c r="K9" s="157">
        <v>7195.6803799999998</v>
      </c>
      <c r="L9" s="209">
        <v>7990.1803799999998</v>
      </c>
      <c r="N9" s="235"/>
    </row>
    <row r="10" spans="2:15" ht="31.5">
      <c r="B10" s="101">
        <v>4</v>
      </c>
      <c r="C10" s="236" t="s">
        <v>170</v>
      </c>
      <c r="D10" s="237" t="e">
        <f>D8/D9*10^7</f>
        <v>#REF!</v>
      </c>
      <c r="E10" s="237" t="e">
        <f>E8/E9*10^7</f>
        <v>#REF!</v>
      </c>
      <c r="F10" s="237" t="e">
        <f>F8/F9*10^7</f>
        <v>#REF!</v>
      </c>
      <c r="G10" s="233"/>
      <c r="H10" s="161">
        <v>4</v>
      </c>
      <c r="I10" s="238" t="s">
        <v>170</v>
      </c>
      <c r="J10" s="228" t="e">
        <f>J8/J9*10^7</f>
        <v>#REF!</v>
      </c>
      <c r="K10" s="228" t="e">
        <f>K8/K9*10^7</f>
        <v>#REF!</v>
      </c>
      <c r="L10" s="239" t="e">
        <f>L8/L9*10^7</f>
        <v>#REF!</v>
      </c>
    </row>
    <row r="11" spans="2:15" ht="31.5">
      <c r="B11" s="101">
        <v>5</v>
      </c>
      <c r="C11" s="236" t="s">
        <v>172</v>
      </c>
      <c r="D11" s="240" t="e">
        <f>D10*12/365</f>
        <v>#REF!</v>
      </c>
      <c r="E11" s="240" t="e">
        <f>E10*12/365</f>
        <v>#REF!</v>
      </c>
      <c r="F11" s="240" t="e">
        <f>F10*12/365</f>
        <v>#REF!</v>
      </c>
      <c r="G11" s="233"/>
      <c r="H11" s="161">
        <v>5</v>
      </c>
      <c r="I11" s="238" t="s">
        <v>172</v>
      </c>
      <c r="J11" s="227" t="e">
        <f>J10*12/365</f>
        <v>#REF!</v>
      </c>
      <c r="K11" s="227" t="e">
        <f>K10*12/365</f>
        <v>#REF!</v>
      </c>
      <c r="L11" s="241" t="e">
        <f>L10*12/365</f>
        <v>#REF!</v>
      </c>
      <c r="N11" s="235"/>
      <c r="O11" s="100"/>
    </row>
    <row r="12" spans="2:15" ht="31.5">
      <c r="B12" s="101">
        <v>6</v>
      </c>
      <c r="C12" s="236" t="s">
        <v>169</v>
      </c>
      <c r="D12" s="240" t="e">
        <f>D11/3</f>
        <v>#REF!</v>
      </c>
      <c r="E12" s="240" t="e">
        <f>E11/3</f>
        <v>#REF!</v>
      </c>
      <c r="F12" s="240" t="e">
        <f>F11/3</f>
        <v>#REF!</v>
      </c>
      <c r="G12" s="233"/>
      <c r="H12" s="161">
        <v>6</v>
      </c>
      <c r="I12" s="238" t="s">
        <v>215</v>
      </c>
      <c r="J12" s="227" t="e">
        <f>J11/3</f>
        <v>#REF!</v>
      </c>
      <c r="K12" s="227" t="e">
        <f>K11/3</f>
        <v>#REF!</v>
      </c>
      <c r="L12" s="241" t="e">
        <f>L11/3</f>
        <v>#REF!</v>
      </c>
    </row>
    <row r="13" spans="2:15" ht="47.25">
      <c r="B13" s="101">
        <v>7</v>
      </c>
      <c r="C13" s="236" t="s">
        <v>171</v>
      </c>
      <c r="D13" s="240" t="e">
        <f>D11/5</f>
        <v>#REF!</v>
      </c>
      <c r="E13" s="240" t="e">
        <f>E11/5</f>
        <v>#REF!</v>
      </c>
      <c r="F13" s="240" t="e">
        <f>F11/5</f>
        <v>#REF!</v>
      </c>
      <c r="G13" s="233"/>
      <c r="H13" s="161">
        <v>7</v>
      </c>
      <c r="I13" s="238" t="s">
        <v>171</v>
      </c>
      <c r="J13" s="227" t="e">
        <f>J11/5</f>
        <v>#REF!</v>
      </c>
      <c r="K13" s="227" t="e">
        <f>K11/5</f>
        <v>#REF!</v>
      </c>
      <c r="L13" s="241" t="e">
        <f>L11/5</f>
        <v>#REF!</v>
      </c>
    </row>
    <row r="14" spans="2:15" ht="32.25" customHeight="1">
      <c r="B14" s="101" t="s">
        <v>163</v>
      </c>
      <c r="C14" s="242" t="s">
        <v>173</v>
      </c>
      <c r="D14" s="158" t="e">
        <f>D13*0.25</f>
        <v>#REF!</v>
      </c>
      <c r="E14" s="158" t="e">
        <f>E13*0.25</f>
        <v>#REF!</v>
      </c>
      <c r="F14" s="158" t="e">
        <f>F13*0.25</f>
        <v>#REF!</v>
      </c>
      <c r="G14" s="233"/>
      <c r="H14" s="161" t="s">
        <v>163</v>
      </c>
      <c r="I14" s="242" t="s">
        <v>173</v>
      </c>
      <c r="J14" s="157" t="e">
        <f>J13*0.25</f>
        <v>#REF!</v>
      </c>
      <c r="K14" s="157" t="e">
        <f>K13*0.25</f>
        <v>#REF!</v>
      </c>
      <c r="L14" s="209" t="e">
        <f>L13*0.25</f>
        <v>#REF!</v>
      </c>
    </row>
    <row r="15" spans="2:15" ht="30.75" customHeight="1">
      <c r="B15" s="101" t="s">
        <v>164</v>
      </c>
      <c r="C15" s="242" t="s">
        <v>174</v>
      </c>
      <c r="D15" s="158" t="e">
        <f>D13*0.5</f>
        <v>#REF!</v>
      </c>
      <c r="E15" s="158" t="e">
        <f>E13*0.5</f>
        <v>#REF!</v>
      </c>
      <c r="F15" s="158" t="e">
        <f>F13*0.5</f>
        <v>#REF!</v>
      </c>
      <c r="G15" s="233"/>
      <c r="H15" s="161" t="s">
        <v>164</v>
      </c>
      <c r="I15" s="242" t="s">
        <v>174</v>
      </c>
      <c r="J15" s="157" t="e">
        <f>J13*0.5</f>
        <v>#REF!</v>
      </c>
      <c r="K15" s="157" t="e">
        <f>K13*0.5</f>
        <v>#REF!</v>
      </c>
      <c r="L15" s="209" t="e">
        <f>L13*0.5</f>
        <v>#REF!</v>
      </c>
    </row>
    <row r="16" spans="2:15" ht="30.75" customHeight="1" thickBot="1">
      <c r="B16" s="101" t="s">
        <v>165</v>
      </c>
      <c r="C16" s="242" t="s">
        <v>175</v>
      </c>
      <c r="D16" s="158" t="e">
        <f>D13</f>
        <v>#REF!</v>
      </c>
      <c r="E16" s="158" t="e">
        <f>E13</f>
        <v>#REF!</v>
      </c>
      <c r="F16" s="158" t="e">
        <f>F13</f>
        <v>#REF!</v>
      </c>
      <c r="G16" s="233"/>
      <c r="H16" s="163" t="s">
        <v>165</v>
      </c>
      <c r="I16" s="243" t="s">
        <v>175</v>
      </c>
      <c r="J16" s="210" t="e">
        <f>J13</f>
        <v>#REF!</v>
      </c>
      <c r="K16" s="210" t="e">
        <f>K13</f>
        <v>#REF!</v>
      </c>
      <c r="L16" s="211" t="e">
        <f>L13</f>
        <v>#REF!</v>
      </c>
    </row>
    <row r="17" spans="2:4">
      <c r="B17" s="244"/>
    </row>
    <row r="18" spans="2:4">
      <c r="B18" s="244"/>
    </row>
    <row r="19" spans="2:4">
      <c r="D19" s="100"/>
    </row>
    <row r="20" spans="2:4">
      <c r="D20" s="100"/>
    </row>
    <row r="21" spans="2:4">
      <c r="D21" s="180"/>
    </row>
  </sheetData>
  <mergeCells count="16">
    <mergeCell ref="B3:F3"/>
    <mergeCell ref="H1:L1"/>
    <mergeCell ref="H2:L2"/>
    <mergeCell ref="H3:L3"/>
    <mergeCell ref="B1:F1"/>
    <mergeCell ref="B2:F2"/>
    <mergeCell ref="J5:J6"/>
    <mergeCell ref="K5:K6"/>
    <mergeCell ref="L5:L6"/>
    <mergeCell ref="C5:C6"/>
    <mergeCell ref="B5:B6"/>
    <mergeCell ref="H5:H6"/>
    <mergeCell ref="I5:I6"/>
    <mergeCell ref="D5:D6"/>
    <mergeCell ref="E5:E6"/>
    <mergeCell ref="F5:F6"/>
  </mergeCells>
  <phoneticPr fontId="14" type="noConversion"/>
  <printOptions horizontalCentered="1"/>
  <pageMargins left="0" right="0" top="0.5" bottom="0.5" header="0.05" footer="0.25"/>
  <pageSetup paperSize="9" orientation="landscape" horizontalDpi="300" verticalDpi="300" r:id="rId1"/>
  <headerFooter>
    <oddHeader>&amp;R&amp;F</oddHeader>
    <oddFooter>&amp;L&amp;P</oddFooter>
  </headerFooter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4"/>
  <sheetViews>
    <sheetView topLeftCell="A28" workbookViewId="0">
      <selection activeCell="F24" sqref="F24"/>
    </sheetView>
  </sheetViews>
  <sheetFormatPr defaultRowHeight="15.75"/>
  <cols>
    <col min="1" max="2" width="9.140625" style="1"/>
    <col min="3" max="3" width="20" style="1" customWidth="1"/>
    <col min="4" max="4" width="16" style="1" bestFit="1" customWidth="1"/>
    <col min="5" max="5" width="13.7109375" style="1" customWidth="1"/>
    <col min="6" max="6" width="20.5703125" style="1" customWidth="1"/>
    <col min="7" max="7" width="15.85546875" style="1" customWidth="1"/>
    <col min="8" max="8" width="19.140625" style="1" customWidth="1"/>
    <col min="9" max="9" width="14.85546875" style="1" customWidth="1"/>
    <col min="10" max="10" width="20.140625" style="1" customWidth="1"/>
    <col min="11" max="11" width="18.140625" style="1" customWidth="1"/>
    <col min="12" max="12" width="18" style="1" customWidth="1"/>
    <col min="13" max="13" width="18.5703125" style="1" customWidth="1"/>
    <col min="14" max="16384" width="9.140625" style="1"/>
  </cols>
  <sheetData>
    <row r="1" spans="2:8">
      <c r="F1" s="9" t="s">
        <v>144</v>
      </c>
      <c r="G1" s="9"/>
    </row>
    <row r="2" spans="2:8">
      <c r="B2" s="2418" t="s">
        <v>343</v>
      </c>
      <c r="C2" s="2418"/>
      <c r="D2" s="2418"/>
      <c r="E2" s="2418"/>
      <c r="F2" s="2418"/>
      <c r="G2" s="2418"/>
      <c r="H2" s="2418"/>
    </row>
    <row r="3" spans="2:8">
      <c r="B3" s="2419" t="s">
        <v>1004</v>
      </c>
      <c r="C3" s="2419"/>
      <c r="D3" s="2419"/>
      <c r="E3" s="2419"/>
      <c r="F3" s="2419"/>
      <c r="G3" s="2419"/>
      <c r="H3" s="2419"/>
    </row>
    <row r="5" spans="2:8">
      <c r="B5" s="147" t="s">
        <v>140</v>
      </c>
    </row>
    <row r="6" spans="2:8" hidden="1"/>
    <row r="7" spans="2:8" hidden="1">
      <c r="B7" s="147" t="s">
        <v>341</v>
      </c>
    </row>
    <row r="8" spans="2:8" hidden="1">
      <c r="B8" s="601" t="s">
        <v>394</v>
      </c>
      <c r="C8" s="602" t="s">
        <v>141</v>
      </c>
      <c r="D8" s="602" t="s">
        <v>436</v>
      </c>
      <c r="E8" s="602" t="s">
        <v>397</v>
      </c>
      <c r="F8" s="603" t="s">
        <v>142</v>
      </c>
    </row>
    <row r="9" spans="2:8" hidden="1">
      <c r="B9" s="587">
        <v>1</v>
      </c>
      <c r="C9" s="346" t="s">
        <v>431</v>
      </c>
      <c r="D9" s="346">
        <v>80</v>
      </c>
      <c r="E9" s="346">
        <v>-3</v>
      </c>
      <c r="F9" s="534">
        <f>SUM(D9:E9)</f>
        <v>77</v>
      </c>
    </row>
    <row r="10" spans="2:8" ht="16.5" hidden="1" thickBot="1">
      <c r="B10" s="604">
        <v>2</v>
      </c>
      <c r="C10" s="349" t="s">
        <v>103</v>
      </c>
      <c r="D10" s="349">
        <v>52</v>
      </c>
      <c r="E10" s="349">
        <v>18</v>
      </c>
      <c r="F10" s="596">
        <f>SUM(D10:E10)</f>
        <v>70</v>
      </c>
    </row>
    <row r="11" spans="2:8" hidden="1">
      <c r="B11" s="605"/>
    </row>
    <row r="12" spans="2:8" hidden="1">
      <c r="B12" s="574" t="s">
        <v>342</v>
      </c>
    </row>
    <row r="13" spans="2:8" hidden="1">
      <c r="B13" s="601" t="s">
        <v>394</v>
      </c>
      <c r="C13" s="602" t="s">
        <v>141</v>
      </c>
      <c r="D13" s="602" t="s">
        <v>436</v>
      </c>
      <c r="E13" s="602" t="s">
        <v>397</v>
      </c>
      <c r="F13" s="603" t="s">
        <v>142</v>
      </c>
    </row>
    <row r="14" spans="2:8" hidden="1">
      <c r="B14" s="587">
        <v>1</v>
      </c>
      <c r="C14" s="346" t="s">
        <v>431</v>
      </c>
      <c r="D14" s="346">
        <f>F9</f>
        <v>77</v>
      </c>
      <c r="E14" s="346">
        <v>-3</v>
      </c>
      <c r="F14" s="534">
        <f>SUM(D14:E14)</f>
        <v>74</v>
      </c>
    </row>
    <row r="15" spans="2:8" ht="16.5" hidden="1" thickBot="1">
      <c r="B15" s="604">
        <v>2</v>
      </c>
      <c r="C15" s="349" t="s">
        <v>103</v>
      </c>
      <c r="D15" s="349">
        <f>F10</f>
        <v>70</v>
      </c>
      <c r="E15" s="349">
        <v>16</v>
      </c>
      <c r="F15" s="596">
        <f>SUM(D15:E15)</f>
        <v>86</v>
      </c>
    </row>
    <row r="16" spans="2:8">
      <c r="B16" s="605"/>
    </row>
    <row r="17" spans="2:13" ht="16.5" thickBot="1">
      <c r="B17" s="1" t="s">
        <v>1324</v>
      </c>
    </row>
    <row r="18" spans="2:13" ht="36" customHeight="1">
      <c r="B18" s="2663" t="s">
        <v>349</v>
      </c>
      <c r="C18" s="2665" t="s">
        <v>331</v>
      </c>
      <c r="D18" s="2667" t="s">
        <v>1034</v>
      </c>
      <c r="E18" s="2668"/>
      <c r="F18" s="2668"/>
      <c r="G18" s="2665"/>
      <c r="H18" s="2663" t="s">
        <v>1039</v>
      </c>
      <c r="I18" s="2668"/>
      <c r="J18" s="2668"/>
      <c r="K18" s="2668"/>
      <c r="L18" s="2665"/>
      <c r="M18" s="571" t="s">
        <v>1041</v>
      </c>
    </row>
    <row r="19" spans="2:13" ht="31.5">
      <c r="B19" s="2664"/>
      <c r="C19" s="2666"/>
      <c r="D19" s="296" t="s">
        <v>1228</v>
      </c>
      <c r="E19" s="496" t="s">
        <v>1036</v>
      </c>
      <c r="F19" s="295" t="s">
        <v>1038</v>
      </c>
      <c r="G19" s="573" t="s">
        <v>1037</v>
      </c>
      <c r="H19" s="572" t="s">
        <v>1228</v>
      </c>
      <c r="I19" s="496" t="s">
        <v>1036</v>
      </c>
      <c r="J19" s="496" t="s">
        <v>1229</v>
      </c>
      <c r="K19" s="496" t="s">
        <v>1230</v>
      </c>
      <c r="L19" s="573" t="s">
        <v>1231</v>
      </c>
      <c r="M19" s="302" t="s">
        <v>1040</v>
      </c>
    </row>
    <row r="20" spans="2:13" ht="16.5" thickBot="1">
      <c r="B20" s="497"/>
      <c r="C20" s="498" t="s">
        <v>1042</v>
      </c>
      <c r="D20" s="544">
        <v>1</v>
      </c>
      <c r="E20" s="500">
        <v>2</v>
      </c>
      <c r="F20" s="500">
        <v>3</v>
      </c>
      <c r="G20" s="501">
        <v>4</v>
      </c>
      <c r="H20" s="499">
        <v>5</v>
      </c>
      <c r="I20" s="500">
        <v>6</v>
      </c>
      <c r="J20" s="500">
        <v>7</v>
      </c>
      <c r="K20" s="500">
        <v>8</v>
      </c>
      <c r="L20" s="501" t="s">
        <v>1043</v>
      </c>
      <c r="M20" s="502">
        <v>10</v>
      </c>
    </row>
    <row r="21" spans="2:13" ht="29.25" customHeight="1">
      <c r="B21" s="591">
        <v>1</v>
      </c>
      <c r="C21" s="592" t="s">
        <v>103</v>
      </c>
      <c r="D21" s="525">
        <v>52</v>
      </c>
      <c r="E21" s="545" t="s">
        <v>1320</v>
      </c>
      <c r="F21" s="545" t="s">
        <v>1320</v>
      </c>
      <c r="G21" s="593">
        <v>56</v>
      </c>
      <c r="H21" s="575">
        <v>70</v>
      </c>
      <c r="I21" s="526" t="s">
        <v>1320</v>
      </c>
      <c r="J21" s="545">
        <v>61</v>
      </c>
      <c r="K21" s="526">
        <v>4</v>
      </c>
      <c r="L21" s="594">
        <v>65</v>
      </c>
      <c r="M21" s="594">
        <v>9</v>
      </c>
    </row>
    <row r="22" spans="2:13" ht="31.5" customHeight="1">
      <c r="B22" s="587">
        <v>2</v>
      </c>
      <c r="C22" s="534" t="s">
        <v>431</v>
      </c>
      <c r="D22" s="524">
        <v>80</v>
      </c>
      <c r="E22" s="91" t="s">
        <v>1320</v>
      </c>
      <c r="F22" s="91" t="s">
        <v>1320</v>
      </c>
      <c r="G22" s="82">
        <v>77</v>
      </c>
      <c r="H22" s="576">
        <v>77</v>
      </c>
      <c r="I22" s="346" t="s">
        <v>1320</v>
      </c>
      <c r="J22" s="91">
        <v>77</v>
      </c>
      <c r="K22" s="595" t="s">
        <v>1416</v>
      </c>
      <c r="L22" s="606">
        <v>77</v>
      </c>
      <c r="M22" s="607" t="s">
        <v>1416</v>
      </c>
    </row>
    <row r="23" spans="2:13" ht="31.5" customHeight="1" thickBot="1">
      <c r="B23" s="588"/>
      <c r="C23" s="596" t="s">
        <v>287</v>
      </c>
      <c r="D23" s="597">
        <f>SUM(D21:D22)</f>
        <v>132</v>
      </c>
      <c r="E23" s="535" t="s">
        <v>1320</v>
      </c>
      <c r="F23" s="535" t="s">
        <v>1320</v>
      </c>
      <c r="G23" s="598">
        <v>133</v>
      </c>
      <c r="H23" s="577">
        <f>SUM(H21:H22)</f>
        <v>147</v>
      </c>
      <c r="I23" s="349" t="s">
        <v>1320</v>
      </c>
      <c r="J23" s="535">
        <v>138</v>
      </c>
      <c r="K23" s="349"/>
      <c r="L23" s="352">
        <v>142</v>
      </c>
      <c r="M23" s="352">
        <v>9</v>
      </c>
    </row>
    <row r="24" spans="2:13" ht="52.5" customHeight="1"/>
    <row r="25" spans="2:13">
      <c r="B25" s="1" t="s">
        <v>1325</v>
      </c>
    </row>
    <row r="26" spans="2:13" ht="16.5" thickBot="1"/>
    <row r="27" spans="2:13" ht="31.5">
      <c r="B27" s="2663" t="s">
        <v>349</v>
      </c>
      <c r="C27" s="2665" t="s">
        <v>331</v>
      </c>
      <c r="D27" s="2667" t="s">
        <v>1034</v>
      </c>
      <c r="E27" s="2668"/>
      <c r="F27" s="2668"/>
      <c r="G27" s="2665"/>
      <c r="H27" s="2663" t="s">
        <v>1039</v>
      </c>
      <c r="I27" s="2668"/>
      <c r="J27" s="2668"/>
      <c r="K27" s="2668"/>
      <c r="L27" s="2665"/>
      <c r="M27" s="571" t="s">
        <v>1041</v>
      </c>
    </row>
    <row r="28" spans="2:13" ht="31.5">
      <c r="B28" s="2664"/>
      <c r="C28" s="2666"/>
      <c r="D28" s="296" t="s">
        <v>1228</v>
      </c>
      <c r="E28" s="496" t="s">
        <v>1036</v>
      </c>
      <c r="F28" s="295" t="s">
        <v>1038</v>
      </c>
      <c r="G28" s="573" t="s">
        <v>1037</v>
      </c>
      <c r="H28" s="572" t="s">
        <v>1228</v>
      </c>
      <c r="I28" s="496" t="s">
        <v>1036</v>
      </c>
      <c r="J28" s="496" t="s">
        <v>1229</v>
      </c>
      <c r="K28" s="496" t="s">
        <v>1230</v>
      </c>
      <c r="L28" s="573" t="s">
        <v>1231</v>
      </c>
      <c r="M28" s="302" t="s">
        <v>1040</v>
      </c>
    </row>
    <row r="29" spans="2:13" ht="16.5" thickBot="1">
      <c r="B29" s="497"/>
      <c r="C29" s="498" t="s">
        <v>1042</v>
      </c>
      <c r="D29" s="544">
        <v>1</v>
      </c>
      <c r="E29" s="500">
        <v>2</v>
      </c>
      <c r="F29" s="500">
        <v>3</v>
      </c>
      <c r="G29" s="501">
        <v>4</v>
      </c>
      <c r="H29" s="499">
        <v>5</v>
      </c>
      <c r="I29" s="500">
        <v>6</v>
      </c>
      <c r="J29" s="500">
        <v>7</v>
      </c>
      <c r="K29" s="500">
        <v>8</v>
      </c>
      <c r="L29" s="501" t="s">
        <v>1043</v>
      </c>
      <c r="M29" s="502">
        <v>10</v>
      </c>
    </row>
    <row r="30" spans="2:13" ht="31.5" customHeight="1">
      <c r="B30" s="591">
        <v>1</v>
      </c>
      <c r="C30" s="592" t="s">
        <v>103</v>
      </c>
      <c r="D30" s="525">
        <v>18</v>
      </c>
      <c r="E30" s="545" t="s">
        <v>1320</v>
      </c>
      <c r="F30" s="545" t="s">
        <v>1320</v>
      </c>
      <c r="G30" s="593">
        <v>6</v>
      </c>
      <c r="H30" s="575">
        <v>16</v>
      </c>
      <c r="I30" s="526" t="s">
        <v>1320</v>
      </c>
      <c r="J30" s="545">
        <v>5</v>
      </c>
      <c r="K30" s="526">
        <v>4</v>
      </c>
      <c r="L30" s="527">
        <v>9</v>
      </c>
      <c r="M30" s="594">
        <v>9</v>
      </c>
    </row>
    <row r="31" spans="2:13" ht="31.5" customHeight="1">
      <c r="B31" s="587">
        <v>2</v>
      </c>
      <c r="C31" s="534" t="s">
        <v>431</v>
      </c>
      <c r="D31" s="524">
        <v>-3</v>
      </c>
      <c r="E31" s="91" t="s">
        <v>1320</v>
      </c>
      <c r="F31" s="91" t="s">
        <v>1320</v>
      </c>
      <c r="G31" s="608" t="s">
        <v>1418</v>
      </c>
      <c r="H31" s="576">
        <v>-3</v>
      </c>
      <c r="I31" s="346" t="s">
        <v>1320</v>
      </c>
      <c r="J31" s="599" t="s">
        <v>1416</v>
      </c>
      <c r="K31" s="595" t="s">
        <v>1416</v>
      </c>
      <c r="L31" s="600" t="s">
        <v>1416</v>
      </c>
      <c r="M31" s="607" t="s">
        <v>1416</v>
      </c>
    </row>
    <row r="32" spans="2:13" ht="33" customHeight="1" thickBot="1">
      <c r="B32" s="588"/>
      <c r="C32" s="596" t="s">
        <v>287</v>
      </c>
      <c r="D32" s="597">
        <f>SUM(D30:D31)</f>
        <v>15</v>
      </c>
      <c r="E32" s="535" t="s">
        <v>1320</v>
      </c>
      <c r="F32" s="535" t="s">
        <v>1320</v>
      </c>
      <c r="G32" s="598">
        <v>5</v>
      </c>
      <c r="H32" s="577">
        <f>SUM(H30:H31)</f>
        <v>13</v>
      </c>
      <c r="I32" s="349" t="s">
        <v>1320</v>
      </c>
      <c r="J32" s="535">
        <v>5</v>
      </c>
      <c r="K32" s="349">
        <v>4</v>
      </c>
      <c r="L32" s="350">
        <v>9</v>
      </c>
      <c r="M32" s="352">
        <v>9</v>
      </c>
    </row>
    <row r="39" spans="12:14" ht="18.75" customHeight="1">
      <c r="L39" s="609"/>
      <c r="M39" s="609"/>
      <c r="N39" s="609"/>
    </row>
    <row r="40" spans="12:14" ht="18.75">
      <c r="L40" s="609"/>
      <c r="M40" s="609"/>
      <c r="N40" s="609"/>
    </row>
    <row r="41" spans="12:14" ht="16.5" customHeight="1">
      <c r="L41" s="2675" t="s">
        <v>1419</v>
      </c>
      <c r="M41" s="2675"/>
      <c r="N41" s="609"/>
    </row>
    <row r="42" spans="12:14">
      <c r="L42" s="2676"/>
      <c r="M42" s="2676"/>
    </row>
    <row r="43" spans="12:14">
      <c r="L43" s="2676"/>
      <c r="M43" s="2676"/>
    </row>
    <row r="44" spans="12:14">
      <c r="L44" s="2676"/>
      <c r="M44" s="2676"/>
    </row>
  </sheetData>
  <mergeCells count="11">
    <mergeCell ref="B2:H2"/>
    <mergeCell ref="B3:H3"/>
    <mergeCell ref="B18:B19"/>
    <mergeCell ref="C18:C19"/>
    <mergeCell ref="D18:G18"/>
    <mergeCell ref="H18:L18"/>
    <mergeCell ref="B27:B28"/>
    <mergeCell ref="C27:C28"/>
    <mergeCell ref="D27:G27"/>
    <mergeCell ref="H27:L27"/>
    <mergeCell ref="L41:M44"/>
  </mergeCells>
  <printOptions horizontalCentered="1"/>
  <pageMargins left="0.7" right="0.7" top="0.75" bottom="0.75" header="0.3" footer="0.3"/>
  <pageSetup paperSize="9" scale="61" orientation="landscape" r:id="rId1"/>
  <headerFooter>
    <oddHeader>&amp;R&amp;F</oddHeader>
    <oddFooter>&amp;L&amp;P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2:L93"/>
  <sheetViews>
    <sheetView topLeftCell="B22" workbookViewId="0">
      <selection activeCell="G40" sqref="G40"/>
    </sheetView>
  </sheetViews>
  <sheetFormatPr defaultRowHeight="15"/>
  <cols>
    <col min="2" max="2" width="24.5703125" customWidth="1"/>
    <col min="3" max="3" width="20.28515625" customWidth="1"/>
    <col min="4" max="4" width="17.7109375" customWidth="1"/>
    <col min="5" max="5" width="17.42578125" customWidth="1"/>
    <col min="6" max="6" width="16.85546875" customWidth="1"/>
    <col min="7" max="7" width="19.42578125" customWidth="1"/>
    <col min="8" max="8" width="17.42578125" customWidth="1"/>
    <col min="10" max="10" width="12.85546875" customWidth="1"/>
  </cols>
  <sheetData>
    <row r="2" spans="1:11">
      <c r="A2" s="698"/>
      <c r="B2" s="699" t="s">
        <v>1760</v>
      </c>
      <c r="C2" s="699"/>
      <c r="D2" s="700"/>
      <c r="E2" s="700"/>
      <c r="F2" s="700"/>
      <c r="G2" s="700"/>
      <c r="H2" s="699"/>
      <c r="I2" s="699"/>
      <c r="J2" s="699"/>
      <c r="K2" s="699"/>
    </row>
    <row r="3" spans="1:11">
      <c r="A3" s="698"/>
      <c r="B3" s="699" t="s">
        <v>1761</v>
      </c>
      <c r="C3" s="699"/>
      <c r="D3" s="700"/>
      <c r="E3" s="700" t="s">
        <v>1762</v>
      </c>
      <c r="F3" s="700" t="s">
        <v>1763</v>
      </c>
      <c r="G3" s="700"/>
      <c r="H3" s="699"/>
      <c r="I3" s="699"/>
      <c r="J3" s="699"/>
      <c r="K3" s="699"/>
    </row>
    <row r="4" spans="1:11" ht="26.25">
      <c r="A4" s="701" t="s">
        <v>389</v>
      </c>
      <c r="B4" s="702"/>
      <c r="C4" s="702"/>
      <c r="D4" s="703" t="s">
        <v>1764</v>
      </c>
      <c r="E4" s="703" t="s">
        <v>1765</v>
      </c>
      <c r="F4" s="703" t="s">
        <v>1766</v>
      </c>
      <c r="G4" s="703" t="s">
        <v>1767</v>
      </c>
      <c r="H4" s="699"/>
      <c r="I4" s="699"/>
      <c r="J4" s="699"/>
      <c r="K4" s="699"/>
    </row>
    <row r="5" spans="1:11" ht="26.25" customHeight="1">
      <c r="A5" s="698">
        <v>1</v>
      </c>
      <c r="B5" s="2677" t="s">
        <v>1768</v>
      </c>
      <c r="C5" s="2677"/>
      <c r="D5" s="700">
        <v>500000003</v>
      </c>
      <c r="E5" s="700">
        <v>0</v>
      </c>
      <c r="F5" s="704">
        <v>83333333</v>
      </c>
      <c r="G5" s="700">
        <v>416666670</v>
      </c>
      <c r="H5" s="699"/>
      <c r="I5" s="699"/>
      <c r="J5" s="699"/>
      <c r="K5" s="699"/>
    </row>
    <row r="6" spans="1:11" ht="27.75" customHeight="1">
      <c r="A6" s="698">
        <v>2</v>
      </c>
      <c r="B6" s="2677" t="s">
        <v>1769</v>
      </c>
      <c r="C6" s="2677"/>
      <c r="D6" s="700">
        <v>585000000</v>
      </c>
      <c r="E6" s="700">
        <v>0</v>
      </c>
      <c r="F6" s="704">
        <v>97500000</v>
      </c>
      <c r="G6" s="700">
        <v>487500000</v>
      </c>
      <c r="H6" s="699"/>
      <c r="I6" s="699"/>
      <c r="J6" s="699"/>
      <c r="K6" s="699"/>
    </row>
    <row r="7" spans="1:11" ht="27" customHeight="1">
      <c r="A7" s="698">
        <v>3</v>
      </c>
      <c r="B7" s="2677" t="s">
        <v>1770</v>
      </c>
      <c r="C7" s="2677"/>
      <c r="D7" s="700">
        <v>936000000</v>
      </c>
      <c r="E7" s="700">
        <v>0</v>
      </c>
      <c r="F7" s="704">
        <v>117000000</v>
      </c>
      <c r="G7" s="700">
        <v>819000000</v>
      </c>
      <c r="H7" s="699"/>
      <c r="I7" s="699"/>
      <c r="J7" s="699"/>
      <c r="K7" s="699"/>
    </row>
    <row r="8" spans="1:11" ht="27" customHeight="1">
      <c r="A8" s="698">
        <v>4</v>
      </c>
      <c r="B8" s="2678" t="s">
        <v>1771</v>
      </c>
      <c r="C8" s="2678"/>
      <c r="D8" s="700">
        <v>1001997000</v>
      </c>
      <c r="E8" s="700">
        <v>0</v>
      </c>
      <c r="F8" s="704">
        <v>111333000</v>
      </c>
      <c r="G8" s="700">
        <v>890664000</v>
      </c>
      <c r="H8" s="699"/>
      <c r="I8" s="699"/>
      <c r="J8" s="699"/>
      <c r="K8" s="699"/>
    </row>
    <row r="9" spans="1:11">
      <c r="A9" s="705" t="s">
        <v>335</v>
      </c>
      <c r="B9" s="706" t="s">
        <v>287</v>
      </c>
      <c r="C9" s="706"/>
      <c r="D9" s="707">
        <f>SUM(D5:D8)</f>
        <v>3022997003</v>
      </c>
      <c r="E9" s="707">
        <v>0</v>
      </c>
      <c r="F9" s="707">
        <f>SUM(F5:F8)</f>
        <v>409166333</v>
      </c>
      <c r="G9" s="707">
        <f>SUM(G5:G8)</f>
        <v>2613830670</v>
      </c>
      <c r="H9" s="699"/>
      <c r="I9" s="699"/>
      <c r="J9" s="699"/>
      <c r="K9" s="699"/>
    </row>
    <row r="10" spans="1:11">
      <c r="A10" s="708"/>
      <c r="B10" s="709"/>
      <c r="C10" s="709"/>
      <c r="D10" s="710"/>
      <c r="E10" s="710"/>
      <c r="F10" s="710"/>
      <c r="G10" s="710"/>
      <c r="H10" s="699"/>
      <c r="I10" s="699"/>
      <c r="J10" s="699"/>
      <c r="K10" s="699"/>
    </row>
    <row r="11" spans="1:11">
      <c r="A11" s="698" t="s">
        <v>389</v>
      </c>
      <c r="B11" s="699" t="s">
        <v>1772</v>
      </c>
      <c r="C11" s="699"/>
      <c r="D11" s="700"/>
      <c r="E11" s="700" t="s">
        <v>1773</v>
      </c>
      <c r="F11" s="700" t="s">
        <v>1774</v>
      </c>
      <c r="G11" s="700"/>
      <c r="H11" s="699"/>
      <c r="I11" s="699"/>
      <c r="J11" s="699"/>
      <c r="K11" s="699"/>
    </row>
    <row r="12" spans="1:11">
      <c r="A12" s="698">
        <v>1</v>
      </c>
      <c r="B12" s="699" t="s">
        <v>1775</v>
      </c>
      <c r="C12" s="699"/>
      <c r="D12" s="700">
        <v>1142857142</v>
      </c>
      <c r="E12" s="700">
        <v>0</v>
      </c>
      <c r="F12" s="710">
        <v>285714286</v>
      </c>
      <c r="G12" s="700">
        <f>D12-F12</f>
        <v>857142856</v>
      </c>
      <c r="H12" s="699"/>
      <c r="I12" s="699"/>
      <c r="J12" s="699"/>
      <c r="K12" s="699"/>
    </row>
    <row r="13" spans="1:11">
      <c r="A13" s="698">
        <v>2</v>
      </c>
      <c r="B13" s="699" t="s">
        <v>1776</v>
      </c>
      <c r="C13" s="699"/>
      <c r="D13" s="700">
        <v>964200000</v>
      </c>
      <c r="E13" s="700">
        <v>0</v>
      </c>
      <c r="F13" s="700">
        <v>107400000</v>
      </c>
      <c r="G13" s="700">
        <f>D13-F13</f>
        <v>856800000</v>
      </c>
      <c r="H13" s="699"/>
      <c r="I13" s="699"/>
      <c r="J13" s="699"/>
      <c r="K13" s="699"/>
    </row>
    <row r="14" spans="1:11">
      <c r="A14" s="698">
        <v>3</v>
      </c>
      <c r="B14" s="699" t="s">
        <v>1777</v>
      </c>
      <c r="C14" s="699"/>
      <c r="D14" s="700">
        <v>1000000000</v>
      </c>
      <c r="E14" s="700">
        <v>0</v>
      </c>
      <c r="F14" s="700">
        <v>23800000</v>
      </c>
      <c r="G14" s="700">
        <f>D14-F14</f>
        <v>976200000</v>
      </c>
      <c r="H14" s="699"/>
      <c r="I14" s="699"/>
      <c r="J14" s="699"/>
      <c r="K14" s="699"/>
    </row>
    <row r="15" spans="1:11">
      <c r="A15" s="705" t="s">
        <v>337</v>
      </c>
      <c r="B15" s="706" t="s">
        <v>287</v>
      </c>
      <c r="C15" s="706"/>
      <c r="D15" s="707">
        <f>SUM(D12:D14)</f>
        <v>3107057142</v>
      </c>
      <c r="E15" s="707">
        <v>0</v>
      </c>
      <c r="F15" s="707">
        <f>SUM(F12:F14)</f>
        <v>416914286</v>
      </c>
      <c r="G15" s="707">
        <f>D15-F15</f>
        <v>2690142856</v>
      </c>
      <c r="H15" s="699"/>
      <c r="I15" s="699"/>
      <c r="J15" s="699"/>
      <c r="K15" s="699"/>
    </row>
    <row r="16" spans="1:11">
      <c r="A16" s="698"/>
      <c r="B16" s="711" t="s">
        <v>1778</v>
      </c>
      <c r="C16" s="699"/>
      <c r="D16" s="700"/>
      <c r="E16" s="700" t="s">
        <v>1779</v>
      </c>
      <c r="F16" s="700" t="s">
        <v>1780</v>
      </c>
      <c r="G16" s="700"/>
      <c r="H16" s="699"/>
      <c r="I16" s="699"/>
      <c r="J16" s="699"/>
      <c r="K16" s="699"/>
    </row>
    <row r="17" spans="1:11" ht="26.25">
      <c r="A17" s="712" t="s">
        <v>1781</v>
      </c>
      <c r="B17" s="712" t="s">
        <v>1782</v>
      </c>
      <c r="C17" s="713" t="s">
        <v>1783</v>
      </c>
      <c r="D17" s="714" t="s">
        <v>1784</v>
      </c>
      <c r="E17" s="714" t="s">
        <v>1785</v>
      </c>
      <c r="F17" s="715" t="s">
        <v>1786</v>
      </c>
      <c r="G17" s="714" t="s">
        <v>1787</v>
      </c>
      <c r="H17" s="699" t="s">
        <v>2241</v>
      </c>
      <c r="I17" s="699" t="s">
        <v>2242</v>
      </c>
      <c r="J17" s="699"/>
      <c r="K17" s="699"/>
    </row>
    <row r="18" spans="1:11">
      <c r="A18" s="712">
        <v>1</v>
      </c>
      <c r="B18" s="712">
        <v>161216</v>
      </c>
      <c r="C18" s="712" t="s">
        <v>1788</v>
      </c>
      <c r="D18" s="715">
        <v>24801542</v>
      </c>
      <c r="E18" s="715">
        <v>0</v>
      </c>
      <c r="F18" s="715">
        <v>4133592</v>
      </c>
      <c r="G18" s="715">
        <f t="shared" ref="G18:G44" si="0">D18-F18+E18</f>
        <v>20667950</v>
      </c>
      <c r="H18" s="698" t="s">
        <v>2193</v>
      </c>
      <c r="I18" s="699" t="s">
        <v>2243</v>
      </c>
      <c r="J18" s="699"/>
      <c r="K18" s="699"/>
    </row>
    <row r="19" spans="1:11">
      <c r="A19" s="712">
        <v>2</v>
      </c>
      <c r="B19" s="712">
        <v>161217</v>
      </c>
      <c r="C19" s="712" t="s">
        <v>1788</v>
      </c>
      <c r="D19" s="715">
        <v>24801542</v>
      </c>
      <c r="E19" s="715">
        <v>0</v>
      </c>
      <c r="F19" s="715">
        <v>4133592</v>
      </c>
      <c r="G19" s="715">
        <f t="shared" si="0"/>
        <v>20667950</v>
      </c>
      <c r="H19" s="698" t="s">
        <v>2193</v>
      </c>
      <c r="I19" s="699" t="s">
        <v>2243</v>
      </c>
      <c r="J19" s="699"/>
      <c r="K19" s="699"/>
    </row>
    <row r="20" spans="1:11">
      <c r="A20" s="712">
        <v>3</v>
      </c>
      <c r="B20" s="712">
        <v>161218</v>
      </c>
      <c r="C20" s="712" t="s">
        <v>1788</v>
      </c>
      <c r="D20" s="715">
        <v>24801542</v>
      </c>
      <c r="E20" s="715">
        <v>0</v>
      </c>
      <c r="F20" s="715">
        <v>4133592</v>
      </c>
      <c r="G20" s="715">
        <f t="shared" si="0"/>
        <v>20667950</v>
      </c>
      <c r="H20" s="698" t="s">
        <v>2193</v>
      </c>
      <c r="I20" s="699" t="s">
        <v>2243</v>
      </c>
      <c r="J20" s="699"/>
      <c r="K20" s="699"/>
    </row>
    <row r="21" spans="1:11">
      <c r="A21" s="712">
        <v>4</v>
      </c>
      <c r="B21" s="712">
        <v>161222</v>
      </c>
      <c r="C21" s="712" t="s">
        <v>1788</v>
      </c>
      <c r="D21" s="715">
        <v>16816953</v>
      </c>
      <c r="E21" s="715">
        <v>43755880</v>
      </c>
      <c r="F21" s="715">
        <v>5537569</v>
      </c>
      <c r="G21" s="715">
        <f t="shared" si="0"/>
        <v>55035264</v>
      </c>
      <c r="H21" s="698" t="s">
        <v>2193</v>
      </c>
      <c r="I21" s="699" t="s">
        <v>2243</v>
      </c>
      <c r="J21" s="699"/>
      <c r="K21" s="699"/>
    </row>
    <row r="22" spans="1:11">
      <c r="A22" s="712">
        <v>5</v>
      </c>
      <c r="B22" s="712">
        <v>161223</v>
      </c>
      <c r="C22" s="712" t="s">
        <v>1788</v>
      </c>
      <c r="D22" s="715">
        <v>41375296</v>
      </c>
      <c r="E22" s="715">
        <v>0</v>
      </c>
      <c r="F22" s="715">
        <v>6895884</v>
      </c>
      <c r="G22" s="715">
        <f t="shared" si="0"/>
        <v>34479412</v>
      </c>
      <c r="H22" s="698" t="s">
        <v>2193</v>
      </c>
      <c r="I22" s="699" t="s">
        <v>2243</v>
      </c>
      <c r="J22" s="699"/>
      <c r="K22" s="699"/>
    </row>
    <row r="23" spans="1:11">
      <c r="A23" s="712">
        <v>6</v>
      </c>
      <c r="B23" s="712">
        <v>161225</v>
      </c>
      <c r="C23" s="712" t="s">
        <v>1788</v>
      </c>
      <c r="D23" s="715">
        <v>28748004</v>
      </c>
      <c r="E23" s="715">
        <v>0</v>
      </c>
      <c r="F23" s="715">
        <v>4791336</v>
      </c>
      <c r="G23" s="715">
        <f t="shared" si="0"/>
        <v>23956668</v>
      </c>
      <c r="H23" s="698" t="s">
        <v>2193</v>
      </c>
      <c r="I23" s="699" t="s">
        <v>2243</v>
      </c>
      <c r="J23" s="699"/>
      <c r="K23" s="699"/>
    </row>
    <row r="24" spans="1:11">
      <c r="A24" s="712">
        <v>7</v>
      </c>
      <c r="B24" s="712">
        <v>161226</v>
      </c>
      <c r="C24" s="712" t="s">
        <v>1788</v>
      </c>
      <c r="D24" s="715">
        <v>51347994</v>
      </c>
      <c r="E24" s="715">
        <v>0</v>
      </c>
      <c r="F24" s="715">
        <v>8558004</v>
      </c>
      <c r="G24" s="715">
        <f t="shared" si="0"/>
        <v>42789990</v>
      </c>
      <c r="H24" s="698" t="s">
        <v>2193</v>
      </c>
      <c r="I24" s="699" t="s">
        <v>2243</v>
      </c>
      <c r="J24" s="699"/>
      <c r="K24" s="699"/>
    </row>
    <row r="25" spans="1:11">
      <c r="A25" s="712">
        <v>8</v>
      </c>
      <c r="B25" s="712">
        <v>161228</v>
      </c>
      <c r="C25" s="712" t="s">
        <v>1788</v>
      </c>
      <c r="D25" s="715">
        <v>65932580</v>
      </c>
      <c r="E25" s="715">
        <v>0</v>
      </c>
      <c r="F25" s="715">
        <v>10988772</v>
      </c>
      <c r="G25" s="715">
        <f t="shared" si="0"/>
        <v>54943808</v>
      </c>
      <c r="H25" s="698" t="s">
        <v>2193</v>
      </c>
      <c r="I25" s="699" t="s">
        <v>2243</v>
      </c>
      <c r="J25" s="699"/>
      <c r="K25" s="699"/>
    </row>
    <row r="26" spans="1:11">
      <c r="A26" s="712">
        <v>9</v>
      </c>
      <c r="B26" s="712">
        <v>161240</v>
      </c>
      <c r="C26" s="712" t="s">
        <v>1788</v>
      </c>
      <c r="D26" s="715">
        <v>31921940</v>
      </c>
      <c r="E26" s="715">
        <v>0</v>
      </c>
      <c r="F26" s="715">
        <v>4118960</v>
      </c>
      <c r="G26" s="715">
        <f t="shared" si="0"/>
        <v>27802980</v>
      </c>
      <c r="H26" s="698" t="s">
        <v>2231</v>
      </c>
      <c r="I26" s="699" t="s">
        <v>2244</v>
      </c>
      <c r="J26" s="699"/>
      <c r="K26" s="699"/>
    </row>
    <row r="27" spans="1:11">
      <c r="A27" s="712">
        <v>10</v>
      </c>
      <c r="B27" s="712">
        <v>161241</v>
      </c>
      <c r="C27" s="712" t="s">
        <v>1788</v>
      </c>
      <c r="D27" s="715">
        <v>31921940</v>
      </c>
      <c r="E27" s="715">
        <v>0</v>
      </c>
      <c r="F27" s="715">
        <v>4118960</v>
      </c>
      <c r="G27" s="715">
        <f t="shared" si="0"/>
        <v>27802980</v>
      </c>
      <c r="H27" s="698" t="s">
        <v>2231</v>
      </c>
      <c r="I27" s="699" t="s">
        <v>2244</v>
      </c>
      <c r="J27" s="699"/>
      <c r="K27" s="699"/>
    </row>
    <row r="28" spans="1:11">
      <c r="A28" s="712">
        <v>11</v>
      </c>
      <c r="B28" s="712">
        <v>161264</v>
      </c>
      <c r="C28" s="712" t="s">
        <v>1788</v>
      </c>
      <c r="D28" s="715">
        <v>51964598</v>
      </c>
      <c r="E28" s="715">
        <v>0</v>
      </c>
      <c r="F28" s="715">
        <v>6705112</v>
      </c>
      <c r="G28" s="715">
        <f t="shared" si="0"/>
        <v>45259486</v>
      </c>
      <c r="H28" s="698" t="s">
        <v>2231</v>
      </c>
      <c r="I28" s="699" t="s">
        <v>2244</v>
      </c>
      <c r="J28" s="699"/>
      <c r="K28" s="699"/>
    </row>
    <row r="29" spans="1:11">
      <c r="A29" s="712">
        <v>12</v>
      </c>
      <c r="B29" s="712">
        <v>161265</v>
      </c>
      <c r="C29" s="712" t="s">
        <v>1788</v>
      </c>
      <c r="D29" s="715">
        <v>49972573</v>
      </c>
      <c r="E29" s="715">
        <v>0</v>
      </c>
      <c r="F29" s="715">
        <v>28555756</v>
      </c>
      <c r="G29" s="715">
        <f t="shared" si="0"/>
        <v>21416817</v>
      </c>
      <c r="H29" s="698" t="s">
        <v>2231</v>
      </c>
      <c r="I29" s="699" t="s">
        <v>2244</v>
      </c>
      <c r="J29" s="699"/>
      <c r="K29" s="699"/>
    </row>
    <row r="30" spans="1:11">
      <c r="A30" s="712">
        <v>13</v>
      </c>
      <c r="B30" s="712">
        <v>161266</v>
      </c>
      <c r="C30" s="712" t="s">
        <v>1788</v>
      </c>
      <c r="D30" s="715">
        <v>17748500</v>
      </c>
      <c r="E30" s="715">
        <v>0</v>
      </c>
      <c r="F30" s="715">
        <v>10142000</v>
      </c>
      <c r="G30" s="715">
        <f t="shared" si="0"/>
        <v>7606500</v>
      </c>
      <c r="H30" s="698" t="s">
        <v>2231</v>
      </c>
      <c r="I30" s="699" t="s">
        <v>2244</v>
      </c>
      <c r="J30" s="699"/>
      <c r="K30" s="699"/>
    </row>
    <row r="31" spans="1:11">
      <c r="A31" s="712">
        <v>14</v>
      </c>
      <c r="B31" s="712">
        <v>161267</v>
      </c>
      <c r="C31" s="712" t="s">
        <v>1788</v>
      </c>
      <c r="D31" s="715">
        <v>13343133</v>
      </c>
      <c r="E31" s="715">
        <v>0</v>
      </c>
      <c r="F31" s="715">
        <v>7624640</v>
      </c>
      <c r="G31" s="715">
        <f t="shared" si="0"/>
        <v>5718493</v>
      </c>
      <c r="H31" s="698" t="s">
        <v>2231</v>
      </c>
      <c r="I31" s="699" t="s">
        <v>2244</v>
      </c>
      <c r="J31" s="699"/>
      <c r="K31" s="699"/>
    </row>
    <row r="32" spans="1:11">
      <c r="A32" s="712">
        <v>15</v>
      </c>
      <c r="B32" s="712">
        <v>161268</v>
      </c>
      <c r="C32" s="712" t="s">
        <v>1788</v>
      </c>
      <c r="D32" s="715">
        <v>8771805</v>
      </c>
      <c r="E32" s="715">
        <v>0</v>
      </c>
      <c r="F32" s="715">
        <v>4934000</v>
      </c>
      <c r="G32" s="715">
        <f t="shared" si="0"/>
        <v>3837805</v>
      </c>
      <c r="H32" s="698" t="s">
        <v>2231</v>
      </c>
      <c r="I32" s="699" t="s">
        <v>2244</v>
      </c>
      <c r="J32" s="699"/>
      <c r="K32" s="699"/>
    </row>
    <row r="33" spans="1:11">
      <c r="A33" s="712">
        <v>16</v>
      </c>
      <c r="B33" s="712">
        <v>161270</v>
      </c>
      <c r="C33" s="712" t="s">
        <v>1789</v>
      </c>
      <c r="D33" s="715">
        <v>18098513</v>
      </c>
      <c r="E33" s="715">
        <v>0</v>
      </c>
      <c r="F33" s="715">
        <v>10342000</v>
      </c>
      <c r="G33" s="715">
        <f t="shared" si="0"/>
        <v>7756513</v>
      </c>
      <c r="H33" s="698" t="s">
        <v>2231</v>
      </c>
      <c r="I33" s="699" t="s">
        <v>2244</v>
      </c>
      <c r="J33" s="699"/>
      <c r="K33" s="699"/>
    </row>
    <row r="34" spans="1:11">
      <c r="A34" s="712">
        <v>17</v>
      </c>
      <c r="B34" s="712">
        <v>161271</v>
      </c>
      <c r="C34" s="712" t="s">
        <v>1789</v>
      </c>
      <c r="D34" s="715">
        <v>12406240</v>
      </c>
      <c r="E34" s="715">
        <v>0</v>
      </c>
      <c r="F34" s="715">
        <v>7089280</v>
      </c>
      <c r="G34" s="715">
        <f t="shared" si="0"/>
        <v>5316960</v>
      </c>
      <c r="H34" s="698" t="s">
        <v>2231</v>
      </c>
      <c r="I34" s="699" t="s">
        <v>2244</v>
      </c>
      <c r="J34" s="699"/>
      <c r="K34" s="699"/>
    </row>
    <row r="35" spans="1:11">
      <c r="A35" s="712">
        <v>18</v>
      </c>
      <c r="B35" s="712">
        <v>161282</v>
      </c>
      <c r="C35" s="712" t="s">
        <v>1788</v>
      </c>
      <c r="D35" s="715">
        <v>215271628</v>
      </c>
      <c r="E35" s="715">
        <v>0</v>
      </c>
      <c r="F35" s="715">
        <v>23919072</v>
      </c>
      <c r="G35" s="715">
        <f t="shared" si="0"/>
        <v>191352556</v>
      </c>
      <c r="H35" s="698" t="s">
        <v>2231</v>
      </c>
      <c r="I35" s="699" t="s">
        <v>2244</v>
      </c>
      <c r="J35" s="699"/>
      <c r="K35" s="699"/>
    </row>
    <row r="36" spans="1:11">
      <c r="A36" s="712">
        <v>19</v>
      </c>
      <c r="B36" s="712">
        <v>161373</v>
      </c>
      <c r="C36" s="712" t="s">
        <v>1788</v>
      </c>
      <c r="D36" s="715">
        <v>805173800</v>
      </c>
      <c r="E36" s="715">
        <v>129067200</v>
      </c>
      <c r="F36" s="715">
        <v>90980460</v>
      </c>
      <c r="G36" s="715">
        <f t="shared" si="0"/>
        <v>843260540</v>
      </c>
      <c r="H36" s="698" t="s">
        <v>2191</v>
      </c>
      <c r="I36" s="699" t="s">
        <v>2245</v>
      </c>
      <c r="J36" s="699"/>
      <c r="K36" s="699"/>
    </row>
    <row r="37" spans="1:11">
      <c r="A37" s="712">
        <v>20</v>
      </c>
      <c r="B37" s="712">
        <v>161414</v>
      </c>
      <c r="C37" s="712" t="s">
        <v>1789</v>
      </c>
      <c r="D37" s="715">
        <v>205793100</v>
      </c>
      <c r="E37" s="715">
        <v>27782900</v>
      </c>
      <c r="F37" s="715">
        <v>0</v>
      </c>
      <c r="G37" s="715">
        <f t="shared" si="0"/>
        <v>233576000</v>
      </c>
      <c r="H37" s="698" t="s">
        <v>2191</v>
      </c>
      <c r="I37" s="699" t="s">
        <v>2245</v>
      </c>
      <c r="J37" s="699"/>
      <c r="K37" s="699"/>
    </row>
    <row r="38" spans="1:11">
      <c r="A38" s="712">
        <v>21</v>
      </c>
      <c r="B38" s="712">
        <v>161415</v>
      </c>
      <c r="C38" s="712" t="s">
        <v>1788</v>
      </c>
      <c r="D38" s="715">
        <v>483531627</v>
      </c>
      <c r="E38" s="715">
        <v>321877700</v>
      </c>
      <c r="F38" s="715">
        <v>0</v>
      </c>
      <c r="G38" s="715">
        <f t="shared" si="0"/>
        <v>805409327</v>
      </c>
      <c r="H38" s="698" t="s">
        <v>2191</v>
      </c>
      <c r="I38" s="699" t="s">
        <v>2245</v>
      </c>
      <c r="J38" s="699"/>
      <c r="K38" s="699"/>
    </row>
    <row r="39" spans="1:11">
      <c r="A39" s="712">
        <v>22</v>
      </c>
      <c r="B39" s="712">
        <v>161416</v>
      </c>
      <c r="C39" s="712" t="s">
        <v>1788</v>
      </c>
      <c r="D39" s="715">
        <v>311558400</v>
      </c>
      <c r="E39" s="715">
        <v>99096500</v>
      </c>
      <c r="F39" s="715">
        <v>0</v>
      </c>
      <c r="G39" s="715">
        <f t="shared" si="0"/>
        <v>410654900</v>
      </c>
      <c r="H39" s="698" t="s">
        <v>2191</v>
      </c>
      <c r="I39" s="699" t="s">
        <v>2245</v>
      </c>
      <c r="J39" s="699"/>
      <c r="K39" s="699"/>
    </row>
    <row r="40" spans="1:11">
      <c r="A40" s="712">
        <v>23</v>
      </c>
      <c r="B40" s="712">
        <v>161423</v>
      </c>
      <c r="C40" s="712" t="s">
        <v>1788</v>
      </c>
      <c r="D40" s="715">
        <v>122194264</v>
      </c>
      <c r="E40" s="715">
        <v>52343100</v>
      </c>
      <c r="F40" s="715">
        <v>0</v>
      </c>
      <c r="G40" s="715">
        <f t="shared" si="0"/>
        <v>174537364</v>
      </c>
      <c r="H40" s="698" t="s">
        <v>2191</v>
      </c>
      <c r="I40" s="699" t="s">
        <v>2245</v>
      </c>
      <c r="J40" s="699"/>
      <c r="K40" s="699"/>
    </row>
    <row r="41" spans="1:11">
      <c r="A41" s="712">
        <v>24</v>
      </c>
      <c r="B41" s="712">
        <v>161424</v>
      </c>
      <c r="C41" s="712" t="s">
        <v>1789</v>
      </c>
      <c r="D41" s="715">
        <v>82287300</v>
      </c>
      <c r="E41" s="715">
        <v>38372100</v>
      </c>
      <c r="F41" s="715">
        <v>0</v>
      </c>
      <c r="G41" s="715">
        <f t="shared" si="0"/>
        <v>120659400</v>
      </c>
      <c r="H41" s="698" t="s">
        <v>2191</v>
      </c>
      <c r="I41" s="699" t="s">
        <v>2245</v>
      </c>
      <c r="J41" s="699"/>
      <c r="K41" s="699"/>
    </row>
    <row r="42" spans="1:11">
      <c r="A42" s="712">
        <v>25</v>
      </c>
      <c r="B42" s="712">
        <v>3128</v>
      </c>
      <c r="C42" s="716" t="s">
        <v>1790</v>
      </c>
      <c r="D42" s="715">
        <v>0</v>
      </c>
      <c r="E42" s="715">
        <v>1501433038</v>
      </c>
      <c r="F42" s="715">
        <v>0</v>
      </c>
      <c r="G42" s="715">
        <f t="shared" si="0"/>
        <v>1501433038</v>
      </c>
      <c r="H42" s="698" t="s">
        <v>2232</v>
      </c>
      <c r="I42" s="699" t="s">
        <v>2246</v>
      </c>
      <c r="J42" s="699"/>
      <c r="K42" s="699"/>
    </row>
    <row r="43" spans="1:11">
      <c r="A43" s="712">
        <v>26</v>
      </c>
      <c r="B43" s="712">
        <v>3279</v>
      </c>
      <c r="C43" s="716" t="s">
        <v>1791</v>
      </c>
      <c r="D43" s="715">
        <v>0</v>
      </c>
      <c r="E43" s="715">
        <v>389468000</v>
      </c>
      <c r="F43" s="715">
        <v>0</v>
      </c>
      <c r="G43" s="715">
        <f t="shared" si="0"/>
        <v>389468000</v>
      </c>
      <c r="H43" s="698" t="s">
        <v>2232</v>
      </c>
      <c r="I43" s="699" t="s">
        <v>2246</v>
      </c>
      <c r="J43" s="699"/>
      <c r="K43" s="699"/>
    </row>
    <row r="44" spans="1:11">
      <c r="A44" s="712">
        <v>27</v>
      </c>
      <c r="B44" s="712">
        <v>3280</v>
      </c>
      <c r="C44" s="716" t="s">
        <v>1791</v>
      </c>
      <c r="D44" s="717">
        <v>0</v>
      </c>
      <c r="E44" s="715">
        <v>143603000</v>
      </c>
      <c r="F44" s="715">
        <v>0</v>
      </c>
      <c r="G44" s="715">
        <f t="shared" si="0"/>
        <v>143603000</v>
      </c>
      <c r="H44" s="698" t="s">
        <v>2232</v>
      </c>
      <c r="I44" s="699" t="s">
        <v>2246</v>
      </c>
      <c r="J44" s="699"/>
      <c r="K44" s="699"/>
    </row>
    <row r="45" spans="1:11">
      <c r="A45" s="705" t="s">
        <v>339</v>
      </c>
      <c r="B45" s="718" t="s">
        <v>287</v>
      </c>
      <c r="C45" s="706"/>
      <c r="D45" s="707">
        <f>SUM(D18:D44)</f>
        <v>2740584814</v>
      </c>
      <c r="E45" s="707">
        <f>SUM(E18:E44)</f>
        <v>2746799418</v>
      </c>
      <c r="F45" s="707">
        <f>SUM(F18:F44)</f>
        <v>247702581</v>
      </c>
      <c r="G45" s="707">
        <f>SUM(G18:G44)</f>
        <v>5239681651</v>
      </c>
      <c r="H45" s="699"/>
      <c r="I45" s="699"/>
      <c r="J45" s="699"/>
      <c r="K45" s="699"/>
    </row>
    <row r="46" spans="1:11" ht="15.75" thickBot="1">
      <c r="A46" s="2679" t="s">
        <v>354</v>
      </c>
      <c r="B46" s="2679"/>
      <c r="C46" s="719" t="s">
        <v>1792</v>
      </c>
      <c r="D46" s="720">
        <f>D9+D15+D45</f>
        <v>8870638959</v>
      </c>
      <c r="E46" s="720">
        <f>E9+E15+E45</f>
        <v>2746799418</v>
      </c>
      <c r="F46" s="720">
        <f>F9+F15+F45</f>
        <v>1073783200</v>
      </c>
      <c r="G46" s="720">
        <f>G9+G15+G45</f>
        <v>10543655177</v>
      </c>
      <c r="H46" s="699"/>
      <c r="I46" s="699"/>
      <c r="J46" s="699"/>
      <c r="K46" s="699"/>
    </row>
    <row r="47" spans="1:11">
      <c r="A47" s="698"/>
      <c r="B47" s="699"/>
      <c r="C47" s="699"/>
      <c r="D47" s="700"/>
      <c r="E47" s="700"/>
      <c r="F47" s="700"/>
      <c r="G47" s="700"/>
      <c r="H47" s="699"/>
      <c r="I47" s="699"/>
      <c r="J47" s="699"/>
      <c r="K47" s="699"/>
    </row>
    <row r="48" spans="1:11">
      <c r="A48" s="721"/>
      <c r="B48" s="722" t="s">
        <v>1793</v>
      </c>
      <c r="C48" s="723"/>
      <c r="D48" s="721"/>
      <c r="E48" s="721"/>
      <c r="F48" s="723"/>
      <c r="G48" s="721"/>
      <c r="H48" s="721"/>
      <c r="I48" s="721"/>
      <c r="J48" s="724"/>
      <c r="K48" s="699"/>
    </row>
    <row r="49" spans="1:12" ht="24">
      <c r="A49" s="725" t="s">
        <v>1781</v>
      </c>
      <c r="B49" s="726" t="s">
        <v>1782</v>
      </c>
      <c r="C49" s="727" t="s">
        <v>1783</v>
      </c>
      <c r="D49" s="728" t="s">
        <v>1784</v>
      </c>
      <c r="E49" s="727" t="s">
        <v>1785</v>
      </c>
      <c r="F49" s="726" t="s">
        <v>1786</v>
      </c>
      <c r="G49" s="727" t="s">
        <v>1787</v>
      </c>
      <c r="H49" s="729" t="s">
        <v>1794</v>
      </c>
      <c r="I49" s="730" t="s">
        <v>1795</v>
      </c>
      <c r="J49" s="731" t="s">
        <v>1796</v>
      </c>
      <c r="K49" s="699"/>
    </row>
    <row r="50" spans="1:12">
      <c r="A50" s="732">
        <v>1</v>
      </c>
      <c r="B50" s="733">
        <v>161216</v>
      </c>
      <c r="C50" s="733" t="s">
        <v>1788</v>
      </c>
      <c r="D50" s="734">
        <v>24801542</v>
      </c>
      <c r="E50" s="733">
        <v>0</v>
      </c>
      <c r="F50" s="733">
        <v>4133592</v>
      </c>
      <c r="G50" s="734">
        <f t="shared" ref="G50:G81" si="1">D50-F50+E50</f>
        <v>20667950</v>
      </c>
      <c r="H50" s="735">
        <v>1989371.5333333332</v>
      </c>
      <c r="I50" s="736">
        <v>0</v>
      </c>
      <c r="J50" s="737">
        <f>H50+I50</f>
        <v>1989371.5333333332</v>
      </c>
      <c r="K50" s="699"/>
      <c r="L50" t="s">
        <v>2193</v>
      </c>
    </row>
    <row r="51" spans="1:12">
      <c r="A51" s="732">
        <v>2</v>
      </c>
      <c r="B51" s="733">
        <v>161217</v>
      </c>
      <c r="C51" s="733" t="s">
        <v>1788</v>
      </c>
      <c r="D51" s="734">
        <v>24801542</v>
      </c>
      <c r="E51" s="733">
        <v>0</v>
      </c>
      <c r="F51" s="733">
        <v>4133592</v>
      </c>
      <c r="G51" s="734">
        <f t="shared" si="1"/>
        <v>20667950</v>
      </c>
      <c r="H51" s="735">
        <v>1989371.5333333332</v>
      </c>
      <c r="I51" s="736">
        <v>0</v>
      </c>
      <c r="J51" s="737">
        <f t="shared" ref="J51:J67" si="2">H51+I51</f>
        <v>1989371.5333333332</v>
      </c>
      <c r="K51" s="699"/>
      <c r="L51" t="s">
        <v>2193</v>
      </c>
    </row>
    <row r="52" spans="1:12">
      <c r="A52" s="732">
        <v>3</v>
      </c>
      <c r="B52" s="733">
        <v>161218</v>
      </c>
      <c r="C52" s="733" t="s">
        <v>1788</v>
      </c>
      <c r="D52" s="734">
        <v>24801542</v>
      </c>
      <c r="E52" s="733">
        <v>0</v>
      </c>
      <c r="F52" s="733">
        <v>4133592</v>
      </c>
      <c r="G52" s="734">
        <f t="shared" si="1"/>
        <v>20667950</v>
      </c>
      <c r="H52" s="735">
        <v>1989371.5333333332</v>
      </c>
      <c r="I52" s="736">
        <v>0</v>
      </c>
      <c r="J52" s="737">
        <f t="shared" si="2"/>
        <v>1989371.5333333332</v>
      </c>
      <c r="K52" s="699"/>
      <c r="L52" t="s">
        <v>2193</v>
      </c>
    </row>
    <row r="53" spans="1:12">
      <c r="A53" s="732">
        <v>4</v>
      </c>
      <c r="B53" s="733">
        <v>161222</v>
      </c>
      <c r="C53" s="733" t="s">
        <v>1788</v>
      </c>
      <c r="D53" s="734">
        <v>16816953</v>
      </c>
      <c r="E53" s="733">
        <v>43755880</v>
      </c>
      <c r="F53" s="733">
        <v>5537569</v>
      </c>
      <c r="G53" s="734">
        <f t="shared" si="1"/>
        <v>55035264</v>
      </c>
      <c r="H53" s="735">
        <v>2665863.7333333334</v>
      </c>
      <c r="I53" s="736">
        <v>0</v>
      </c>
      <c r="J53" s="737">
        <f t="shared" si="2"/>
        <v>2665863.7333333334</v>
      </c>
      <c r="K53" s="699"/>
      <c r="L53" t="s">
        <v>2193</v>
      </c>
    </row>
    <row r="54" spans="1:12">
      <c r="A54" s="732">
        <v>5</v>
      </c>
      <c r="B54" s="733">
        <v>161223</v>
      </c>
      <c r="C54" s="733" t="s">
        <v>1788</v>
      </c>
      <c r="D54" s="734">
        <v>41375296</v>
      </c>
      <c r="E54" s="733">
        <v>0</v>
      </c>
      <c r="F54" s="733">
        <v>6895884</v>
      </c>
      <c r="G54" s="734">
        <f t="shared" si="1"/>
        <v>34479412</v>
      </c>
      <c r="H54" s="735">
        <v>3246421</v>
      </c>
      <c r="I54" s="736">
        <v>0</v>
      </c>
      <c r="J54" s="737">
        <f t="shared" si="2"/>
        <v>3246421</v>
      </c>
      <c r="K54" s="699"/>
      <c r="L54" t="s">
        <v>2193</v>
      </c>
    </row>
    <row r="55" spans="1:12">
      <c r="A55" s="732">
        <v>6</v>
      </c>
      <c r="B55" s="733">
        <v>161225</v>
      </c>
      <c r="C55" s="733" t="s">
        <v>1788</v>
      </c>
      <c r="D55" s="734">
        <v>28748004</v>
      </c>
      <c r="E55" s="733">
        <v>0</v>
      </c>
      <c r="F55" s="733">
        <v>4791336</v>
      </c>
      <c r="G55" s="734">
        <f t="shared" si="1"/>
        <v>23956668</v>
      </c>
      <c r="H55" s="735">
        <v>2291779.0666666664</v>
      </c>
      <c r="I55" s="736">
        <v>0</v>
      </c>
      <c r="J55" s="737">
        <f t="shared" si="2"/>
        <v>2291779.0666666664</v>
      </c>
      <c r="K55" s="699"/>
      <c r="L55" t="s">
        <v>2193</v>
      </c>
    </row>
    <row r="56" spans="1:12">
      <c r="A56" s="732">
        <v>7</v>
      </c>
      <c r="B56" s="733">
        <v>161226</v>
      </c>
      <c r="C56" s="733" t="s">
        <v>1788</v>
      </c>
      <c r="D56" s="734">
        <v>51347994</v>
      </c>
      <c r="E56" s="733">
        <v>0</v>
      </c>
      <c r="F56" s="733">
        <v>8558004</v>
      </c>
      <c r="G56" s="734">
        <f t="shared" si="1"/>
        <v>42789990</v>
      </c>
      <c r="H56" s="735">
        <v>4067438.3333333335</v>
      </c>
      <c r="I56" s="736">
        <v>0</v>
      </c>
      <c r="J56" s="737">
        <f t="shared" si="2"/>
        <v>4067438.3333333335</v>
      </c>
      <c r="K56" s="699"/>
      <c r="L56" t="s">
        <v>2193</v>
      </c>
    </row>
    <row r="57" spans="1:12">
      <c r="A57" s="732">
        <v>8</v>
      </c>
      <c r="B57" s="733">
        <v>161228</v>
      </c>
      <c r="C57" s="733" t="s">
        <v>1788</v>
      </c>
      <c r="D57" s="734">
        <v>65932580</v>
      </c>
      <c r="E57" s="733">
        <v>0</v>
      </c>
      <c r="F57" s="733">
        <v>10988772</v>
      </c>
      <c r="G57" s="734">
        <f t="shared" si="1"/>
        <v>54943808</v>
      </c>
      <c r="H57" s="735">
        <v>4910739</v>
      </c>
      <c r="I57" s="736">
        <v>0</v>
      </c>
      <c r="J57" s="737">
        <f t="shared" si="2"/>
        <v>4910739</v>
      </c>
      <c r="K57" s="699"/>
      <c r="L57" t="s">
        <v>2193</v>
      </c>
    </row>
    <row r="58" spans="1:12">
      <c r="A58" s="732">
        <v>9</v>
      </c>
      <c r="B58" s="733">
        <v>161240</v>
      </c>
      <c r="C58" s="733" t="s">
        <v>1788</v>
      </c>
      <c r="D58" s="734">
        <v>31921940</v>
      </c>
      <c r="E58" s="733">
        <v>0</v>
      </c>
      <c r="F58" s="733">
        <v>4118960</v>
      </c>
      <c r="G58" s="734">
        <f t="shared" si="1"/>
        <v>27802980</v>
      </c>
      <c r="H58" s="735">
        <v>2318579.5054945056</v>
      </c>
      <c r="I58" s="736">
        <v>0</v>
      </c>
      <c r="J58" s="737">
        <f t="shared" si="2"/>
        <v>2318579.5054945056</v>
      </c>
      <c r="K58" s="699"/>
      <c r="L58" t="s">
        <v>2240</v>
      </c>
    </row>
    <row r="59" spans="1:12">
      <c r="A59" s="732">
        <v>10</v>
      </c>
      <c r="B59" s="733">
        <v>161241</v>
      </c>
      <c r="C59" s="733" t="s">
        <v>1788</v>
      </c>
      <c r="D59" s="734">
        <v>31921940</v>
      </c>
      <c r="E59" s="733">
        <v>0</v>
      </c>
      <c r="F59" s="733">
        <v>4118960</v>
      </c>
      <c r="G59" s="734">
        <f t="shared" si="1"/>
        <v>27802980</v>
      </c>
      <c r="H59" s="735">
        <v>2318579.5054945056</v>
      </c>
      <c r="I59" s="736">
        <v>0</v>
      </c>
      <c r="J59" s="737">
        <f t="shared" si="2"/>
        <v>2318579.5054945056</v>
      </c>
      <c r="K59" s="699"/>
      <c r="L59" t="s">
        <v>2240</v>
      </c>
    </row>
    <row r="60" spans="1:12">
      <c r="A60" s="732">
        <v>11</v>
      </c>
      <c r="B60" s="733">
        <v>161264</v>
      </c>
      <c r="C60" s="733" t="s">
        <v>1788</v>
      </c>
      <c r="D60" s="734">
        <v>51964598</v>
      </c>
      <c r="E60" s="733">
        <v>0</v>
      </c>
      <c r="F60" s="733">
        <v>6705112</v>
      </c>
      <c r="G60" s="734">
        <f t="shared" si="1"/>
        <v>45259486</v>
      </c>
      <c r="H60" s="735">
        <v>5790912.8681318685</v>
      </c>
      <c r="I60" s="736">
        <v>0</v>
      </c>
      <c r="J60" s="737">
        <f t="shared" si="2"/>
        <v>5790912.8681318685</v>
      </c>
      <c r="K60" s="699"/>
      <c r="L60" t="s">
        <v>2240</v>
      </c>
    </row>
    <row r="61" spans="1:12">
      <c r="A61" s="732">
        <v>12</v>
      </c>
      <c r="B61" s="733">
        <v>161265</v>
      </c>
      <c r="C61" s="733" t="s">
        <v>1788</v>
      </c>
      <c r="D61" s="734">
        <v>49972573</v>
      </c>
      <c r="E61" s="733">
        <v>0</v>
      </c>
      <c r="F61" s="733">
        <v>28555756</v>
      </c>
      <c r="G61" s="734">
        <f t="shared" si="1"/>
        <v>21416817</v>
      </c>
      <c r="H61" s="735">
        <v>3337516.8571428573</v>
      </c>
      <c r="I61" s="736">
        <v>0</v>
      </c>
      <c r="J61" s="737">
        <f t="shared" si="2"/>
        <v>3337516.8571428573</v>
      </c>
      <c r="K61" s="699"/>
      <c r="L61" t="s">
        <v>2240</v>
      </c>
    </row>
    <row r="62" spans="1:12">
      <c r="A62" s="732">
        <v>13</v>
      </c>
      <c r="B62" s="733">
        <v>161266</v>
      </c>
      <c r="C62" s="733" t="s">
        <v>1788</v>
      </c>
      <c r="D62" s="734">
        <v>17748500</v>
      </c>
      <c r="E62" s="733">
        <v>0</v>
      </c>
      <c r="F62" s="733">
        <v>10142000</v>
      </c>
      <c r="G62" s="734">
        <f t="shared" si="1"/>
        <v>7606500</v>
      </c>
      <c r="H62" s="735">
        <v>1483742.9450549451</v>
      </c>
      <c r="I62" s="736">
        <v>0</v>
      </c>
      <c r="J62" s="737">
        <f t="shared" si="2"/>
        <v>1483742.9450549451</v>
      </c>
      <c r="K62" s="699"/>
      <c r="L62" t="s">
        <v>2240</v>
      </c>
    </row>
    <row r="63" spans="1:12">
      <c r="A63" s="732">
        <v>14</v>
      </c>
      <c r="B63" s="733">
        <v>161267</v>
      </c>
      <c r="C63" s="733" t="s">
        <v>1788</v>
      </c>
      <c r="D63" s="734">
        <v>13343133</v>
      </c>
      <c r="E63" s="733">
        <v>0</v>
      </c>
      <c r="F63" s="733">
        <v>7624640</v>
      </c>
      <c r="G63" s="734">
        <f t="shared" si="1"/>
        <v>5718493</v>
      </c>
      <c r="H63" s="735">
        <v>792544.73626373627</v>
      </c>
      <c r="I63" s="736">
        <v>0</v>
      </c>
      <c r="J63" s="737">
        <f t="shared" si="2"/>
        <v>792544.73626373627</v>
      </c>
      <c r="K63" s="699"/>
      <c r="L63" t="s">
        <v>2240</v>
      </c>
    </row>
    <row r="64" spans="1:12">
      <c r="A64" s="732">
        <v>15</v>
      </c>
      <c r="B64" s="733">
        <v>161268</v>
      </c>
      <c r="C64" s="733" t="s">
        <v>1788</v>
      </c>
      <c r="D64" s="734">
        <v>8771805</v>
      </c>
      <c r="E64" s="733">
        <v>0</v>
      </c>
      <c r="F64" s="733">
        <v>4934000</v>
      </c>
      <c r="G64" s="734">
        <f t="shared" si="1"/>
        <v>3837805</v>
      </c>
      <c r="H64" s="735">
        <v>517501.68131868134</v>
      </c>
      <c r="I64" s="736">
        <v>0</v>
      </c>
      <c r="J64" s="737">
        <f t="shared" si="2"/>
        <v>517501.68131868134</v>
      </c>
      <c r="K64" s="699"/>
      <c r="L64" t="s">
        <v>2240</v>
      </c>
    </row>
    <row r="65" spans="1:12">
      <c r="A65" s="732">
        <v>16</v>
      </c>
      <c r="B65" s="733">
        <v>161270</v>
      </c>
      <c r="C65" s="733" t="s">
        <v>1789</v>
      </c>
      <c r="D65" s="734">
        <v>18098513</v>
      </c>
      <c r="E65" s="733">
        <v>0</v>
      </c>
      <c r="F65" s="733">
        <v>10342000</v>
      </c>
      <c r="G65" s="734">
        <f t="shared" si="1"/>
        <v>7756513</v>
      </c>
      <c r="H65" s="735">
        <v>1075003.1648351648</v>
      </c>
      <c r="I65" s="736">
        <v>0</v>
      </c>
      <c r="J65" s="737">
        <f t="shared" si="2"/>
        <v>1075003.1648351648</v>
      </c>
      <c r="K65" s="699"/>
      <c r="L65" t="s">
        <v>2240</v>
      </c>
    </row>
    <row r="66" spans="1:12">
      <c r="A66" s="732">
        <v>17</v>
      </c>
      <c r="B66" s="733">
        <v>161271</v>
      </c>
      <c r="C66" s="733" t="s">
        <v>1789</v>
      </c>
      <c r="D66" s="734">
        <v>12406240</v>
      </c>
      <c r="E66" s="733">
        <v>0</v>
      </c>
      <c r="F66" s="733">
        <v>7089280</v>
      </c>
      <c r="G66" s="734">
        <f t="shared" si="1"/>
        <v>5316960</v>
      </c>
      <c r="H66" s="735">
        <v>736896.18681318685</v>
      </c>
      <c r="I66" s="736">
        <v>0</v>
      </c>
      <c r="J66" s="737">
        <f t="shared" si="2"/>
        <v>736896.18681318685</v>
      </c>
      <c r="K66" s="699"/>
      <c r="L66" t="s">
        <v>2240</v>
      </c>
    </row>
    <row r="67" spans="1:12">
      <c r="A67" s="732">
        <v>18</v>
      </c>
      <c r="B67" s="733">
        <v>161282</v>
      </c>
      <c r="C67" s="733" t="s">
        <v>1788</v>
      </c>
      <c r="D67" s="734">
        <v>215271628</v>
      </c>
      <c r="E67" s="733">
        <v>0</v>
      </c>
      <c r="F67" s="733">
        <v>23919072</v>
      </c>
      <c r="G67" s="734">
        <f t="shared" si="1"/>
        <v>191352556</v>
      </c>
      <c r="H67" s="735">
        <v>24895962.648351647</v>
      </c>
      <c r="I67" s="736">
        <v>0</v>
      </c>
      <c r="J67" s="737">
        <f t="shared" si="2"/>
        <v>24895962.648351647</v>
      </c>
      <c r="K67" s="699"/>
      <c r="L67" t="s">
        <v>2240</v>
      </c>
    </row>
    <row r="68" spans="1:12">
      <c r="A68" s="732">
        <v>19</v>
      </c>
      <c r="B68" s="733">
        <v>161373</v>
      </c>
      <c r="C68" s="733" t="s">
        <v>1788</v>
      </c>
      <c r="D68" s="734">
        <v>805173800</v>
      </c>
      <c r="E68" s="733">
        <v>129067200</v>
      </c>
      <c r="F68" s="733">
        <v>90980460</v>
      </c>
      <c r="G68" s="734">
        <f t="shared" si="1"/>
        <v>843260540</v>
      </c>
      <c r="H68" s="735">
        <f>J68-I68</f>
        <v>88121263.434782609</v>
      </c>
      <c r="I68" s="733">
        <v>3167308</v>
      </c>
      <c r="J68" s="737">
        <v>91288571.434782609</v>
      </c>
      <c r="K68" s="699"/>
      <c r="L68" t="s">
        <v>2238</v>
      </c>
    </row>
    <row r="69" spans="1:12">
      <c r="A69" s="732">
        <v>20</v>
      </c>
      <c r="B69" s="733">
        <v>161414</v>
      </c>
      <c r="C69" s="733" t="s">
        <v>1789</v>
      </c>
      <c r="D69" s="734">
        <v>205793100</v>
      </c>
      <c r="E69" s="733">
        <v>27782900</v>
      </c>
      <c r="F69" s="733">
        <v>0</v>
      </c>
      <c r="G69" s="734">
        <f t="shared" si="1"/>
        <v>233576000</v>
      </c>
      <c r="H69" s="735">
        <f t="shared" ref="H69:H81" si="3">J69-I69</f>
        <v>21998232.434782609</v>
      </c>
      <c r="I69" s="736">
        <v>860557</v>
      </c>
      <c r="J69" s="737">
        <v>22858789.434782609</v>
      </c>
      <c r="K69" s="699"/>
      <c r="L69" t="s">
        <v>2238</v>
      </c>
    </row>
    <row r="70" spans="1:12">
      <c r="A70" s="732">
        <v>21</v>
      </c>
      <c r="B70" s="733">
        <v>161415</v>
      </c>
      <c r="C70" s="733" t="s">
        <v>1788</v>
      </c>
      <c r="D70" s="734">
        <v>483531627</v>
      </c>
      <c r="E70" s="733">
        <v>321877700</v>
      </c>
      <c r="F70" s="733">
        <v>0</v>
      </c>
      <c r="G70" s="734">
        <f t="shared" si="1"/>
        <v>805409327</v>
      </c>
      <c r="H70" s="735">
        <f t="shared" si="3"/>
        <v>66867906</v>
      </c>
      <c r="I70" s="736">
        <v>2992737</v>
      </c>
      <c r="J70" s="738">
        <v>69860643</v>
      </c>
      <c r="K70" s="699"/>
      <c r="L70" t="s">
        <v>2238</v>
      </c>
    </row>
    <row r="71" spans="1:12">
      <c r="A71" s="732">
        <v>22</v>
      </c>
      <c r="B71" s="733">
        <v>161416</v>
      </c>
      <c r="C71" s="733" t="s">
        <v>1788</v>
      </c>
      <c r="D71" s="734">
        <v>311558400</v>
      </c>
      <c r="E71" s="733">
        <v>99096500</v>
      </c>
      <c r="F71" s="733">
        <v>0</v>
      </c>
      <c r="G71" s="734">
        <f t="shared" si="1"/>
        <v>410654900</v>
      </c>
      <c r="H71" s="735">
        <f t="shared" si="3"/>
        <v>36588319.913043477</v>
      </c>
      <c r="I71" s="736">
        <v>1570268</v>
      </c>
      <c r="J71" s="737">
        <v>38158587.913043477</v>
      </c>
      <c r="K71" s="699"/>
      <c r="L71" t="s">
        <v>2238</v>
      </c>
    </row>
    <row r="72" spans="1:12">
      <c r="A72" s="732">
        <v>23</v>
      </c>
      <c r="B72" s="733">
        <v>161423</v>
      </c>
      <c r="C72" s="733" t="s">
        <v>1788</v>
      </c>
      <c r="D72" s="734">
        <v>122194264</v>
      </c>
      <c r="E72" s="733">
        <v>52343100</v>
      </c>
      <c r="F72" s="733">
        <v>0</v>
      </c>
      <c r="G72" s="734">
        <f t="shared" si="1"/>
        <v>174537364</v>
      </c>
      <c r="H72" s="735">
        <f t="shared" si="3"/>
        <v>16100190</v>
      </c>
      <c r="I72" s="736">
        <v>633243</v>
      </c>
      <c r="J72" s="737">
        <v>16733433</v>
      </c>
      <c r="K72" s="699"/>
      <c r="L72" t="s">
        <v>2238</v>
      </c>
    </row>
    <row r="73" spans="1:12">
      <c r="A73" s="732">
        <v>24</v>
      </c>
      <c r="B73" s="733">
        <v>161424</v>
      </c>
      <c r="C73" s="733" t="s">
        <v>1789</v>
      </c>
      <c r="D73" s="734">
        <v>82287300</v>
      </c>
      <c r="E73" s="733">
        <v>38372100</v>
      </c>
      <c r="F73" s="733">
        <v>0</v>
      </c>
      <c r="G73" s="734">
        <f t="shared" si="1"/>
        <v>120659400</v>
      </c>
      <c r="H73" s="735">
        <f t="shared" si="3"/>
        <v>10705017</v>
      </c>
      <c r="I73" s="736">
        <v>436357</v>
      </c>
      <c r="J73" s="737">
        <v>11141374</v>
      </c>
      <c r="K73" s="699"/>
      <c r="L73" t="s">
        <v>2238</v>
      </c>
    </row>
    <row r="74" spans="1:12">
      <c r="A74" s="732">
        <v>25</v>
      </c>
      <c r="B74" s="733">
        <v>3128</v>
      </c>
      <c r="C74" s="733" t="s">
        <v>1790</v>
      </c>
      <c r="D74" s="734">
        <v>0</v>
      </c>
      <c r="E74" s="733">
        <v>1501433038</v>
      </c>
      <c r="F74" s="733">
        <v>0</v>
      </c>
      <c r="G74" s="734">
        <f t="shared" si="1"/>
        <v>1501433038</v>
      </c>
      <c r="H74" s="735">
        <f t="shared" si="3"/>
        <v>29876003</v>
      </c>
      <c r="I74" s="736">
        <v>4763300</v>
      </c>
      <c r="J74" s="737">
        <v>34639303</v>
      </c>
      <c r="K74" s="699"/>
      <c r="L74" t="s">
        <v>2239</v>
      </c>
    </row>
    <row r="75" spans="1:12">
      <c r="A75" s="732">
        <v>26</v>
      </c>
      <c r="B75" s="733">
        <v>3279</v>
      </c>
      <c r="C75" s="733" t="s">
        <v>1791</v>
      </c>
      <c r="D75" s="734">
        <v>0</v>
      </c>
      <c r="E75" s="733">
        <v>389468000</v>
      </c>
      <c r="F75" s="733">
        <v>0</v>
      </c>
      <c r="G75" s="734">
        <f t="shared" si="1"/>
        <v>389468000</v>
      </c>
      <c r="H75" s="735">
        <f t="shared" si="3"/>
        <v>1018877</v>
      </c>
      <c r="I75" s="736">
        <v>1467830</v>
      </c>
      <c r="J75" s="737">
        <v>2486707</v>
      </c>
      <c r="K75" s="699"/>
      <c r="L75" t="s">
        <v>2239</v>
      </c>
    </row>
    <row r="76" spans="1:12">
      <c r="A76" s="732">
        <v>27</v>
      </c>
      <c r="B76" s="733">
        <v>3280</v>
      </c>
      <c r="C76" s="733" t="s">
        <v>1791</v>
      </c>
      <c r="D76" s="739">
        <v>0</v>
      </c>
      <c r="E76" s="733">
        <v>143603000</v>
      </c>
      <c r="F76" s="733">
        <v>0</v>
      </c>
      <c r="G76" s="734">
        <f t="shared" si="1"/>
        <v>143603000</v>
      </c>
      <c r="H76" s="735">
        <f t="shared" si="3"/>
        <v>586478</v>
      </c>
      <c r="I76" s="736">
        <v>539697</v>
      </c>
      <c r="J76" s="737">
        <v>1126175</v>
      </c>
      <c r="K76" s="699"/>
      <c r="L76" t="s">
        <v>2239</v>
      </c>
    </row>
    <row r="77" spans="1:12">
      <c r="A77" s="740" t="s">
        <v>335</v>
      </c>
      <c r="B77" s="741"/>
      <c r="C77" s="741" t="s">
        <v>287</v>
      </c>
      <c r="D77" s="742">
        <f t="shared" ref="D77:J77" si="4">SUM(D50:D76)</f>
        <v>2740584814</v>
      </c>
      <c r="E77" s="742">
        <f t="shared" si="4"/>
        <v>2746799418</v>
      </c>
      <c r="F77" s="742">
        <f t="shared" si="4"/>
        <v>247702581</v>
      </c>
      <c r="G77" s="742">
        <f t="shared" si="4"/>
        <v>5239681651</v>
      </c>
      <c r="H77" s="742">
        <f t="shared" si="4"/>
        <v>338279882.61484313</v>
      </c>
      <c r="I77" s="742">
        <f t="shared" si="4"/>
        <v>16431297</v>
      </c>
      <c r="J77" s="743">
        <f t="shared" si="4"/>
        <v>354711179.61484313</v>
      </c>
      <c r="K77" s="699"/>
    </row>
    <row r="78" spans="1:12">
      <c r="A78" s="744"/>
      <c r="B78" s="745"/>
      <c r="C78" s="745"/>
      <c r="D78" s="746"/>
      <c r="E78" s="746" t="s">
        <v>1797</v>
      </c>
      <c r="F78" s="746" t="s">
        <v>1798</v>
      </c>
      <c r="G78" s="746"/>
      <c r="H78" s="746" t="s">
        <v>1799</v>
      </c>
      <c r="I78" s="746" t="s">
        <v>1800</v>
      </c>
      <c r="J78" s="747"/>
      <c r="K78" s="699"/>
    </row>
    <row r="79" spans="1:12">
      <c r="A79" s="740" t="s">
        <v>337</v>
      </c>
      <c r="B79" s="741" t="s">
        <v>440</v>
      </c>
      <c r="C79" s="741" t="s">
        <v>1378</v>
      </c>
      <c r="D79" s="748">
        <v>3107057142</v>
      </c>
      <c r="E79" s="730">
        <v>0</v>
      </c>
      <c r="F79" s="741">
        <v>416914286</v>
      </c>
      <c r="G79" s="749">
        <f t="shared" si="1"/>
        <v>2690142856</v>
      </c>
      <c r="H79" s="742">
        <f t="shared" si="3"/>
        <v>279946611</v>
      </c>
      <c r="I79" s="741">
        <v>0</v>
      </c>
      <c r="J79" s="750">
        <v>279946611</v>
      </c>
      <c r="K79" s="699"/>
    </row>
    <row r="80" spans="1:12">
      <c r="A80" s="744">
        <v>28</v>
      </c>
      <c r="B80" s="745"/>
      <c r="C80" s="745"/>
      <c r="D80" s="751"/>
      <c r="E80" s="752"/>
      <c r="F80" s="745" t="s">
        <v>1774</v>
      </c>
      <c r="G80" s="753"/>
      <c r="H80" s="746" t="s">
        <v>1801</v>
      </c>
      <c r="I80" s="745" t="s">
        <v>1802</v>
      </c>
      <c r="J80" s="754"/>
      <c r="K80" s="699"/>
    </row>
    <row r="81" spans="1:11">
      <c r="A81" s="732" t="s">
        <v>339</v>
      </c>
      <c r="B81" s="733" t="s">
        <v>378</v>
      </c>
      <c r="C81" s="733" t="s">
        <v>1378</v>
      </c>
      <c r="D81" s="755">
        <v>3022997003</v>
      </c>
      <c r="E81" s="756">
        <v>0</v>
      </c>
      <c r="F81" s="757">
        <v>409166333</v>
      </c>
      <c r="G81" s="734">
        <f t="shared" si="1"/>
        <v>2613830670</v>
      </c>
      <c r="H81" s="735">
        <f t="shared" si="3"/>
        <v>230877719</v>
      </c>
      <c r="I81" s="733">
        <v>59867464</v>
      </c>
      <c r="J81" s="738">
        <v>290745183</v>
      </c>
      <c r="K81" s="699"/>
    </row>
    <row r="82" spans="1:11" ht="15.75" thickBot="1">
      <c r="A82" s="732">
        <v>29</v>
      </c>
      <c r="B82" s="733"/>
      <c r="C82" s="733"/>
      <c r="D82" s="755"/>
      <c r="E82" s="756"/>
      <c r="F82" s="758" t="s">
        <v>1803</v>
      </c>
      <c r="G82" s="734"/>
      <c r="H82" s="757" t="s">
        <v>1804</v>
      </c>
      <c r="I82" s="733" t="s">
        <v>1805</v>
      </c>
      <c r="J82" s="738"/>
      <c r="K82" s="699"/>
    </row>
    <row r="83" spans="1:11" ht="15.75" thickBot="1">
      <c r="A83" s="759"/>
      <c r="B83" s="760" t="s">
        <v>287</v>
      </c>
      <c r="C83" s="760" t="s">
        <v>1792</v>
      </c>
      <c r="D83" s="761">
        <f>SUM(D77:D81)</f>
        <v>8870638959</v>
      </c>
      <c r="E83" s="761">
        <f>SUM(E77:E81)</f>
        <v>2746799418</v>
      </c>
      <c r="F83" s="761">
        <f>F77+F79+F81</f>
        <v>1073783200</v>
      </c>
      <c r="G83" s="761">
        <f>G77+G79+G81</f>
        <v>10543655177</v>
      </c>
      <c r="H83" s="761">
        <f>H77+H79+H81</f>
        <v>849104212.61484313</v>
      </c>
      <c r="I83" s="761">
        <f>I77+I79+I81</f>
        <v>76298761</v>
      </c>
      <c r="J83" s="762">
        <f>J77+J79+J81</f>
        <v>925402973.61484313</v>
      </c>
      <c r="K83" s="763"/>
    </row>
    <row r="84" spans="1:11">
      <c r="A84" s="698"/>
      <c r="B84" s="699"/>
      <c r="C84" s="764" t="s">
        <v>1806</v>
      </c>
      <c r="D84" s="700"/>
      <c r="E84" s="700"/>
      <c r="F84" s="700"/>
      <c r="G84" s="700"/>
      <c r="H84" s="699"/>
      <c r="I84" s="699"/>
      <c r="J84" s="699"/>
      <c r="K84" s="699"/>
    </row>
    <row r="85" spans="1:11">
      <c r="A85" s="698"/>
      <c r="B85" s="699"/>
      <c r="C85" s="699"/>
      <c r="D85" s="764"/>
      <c r="E85" s="700"/>
      <c r="F85" s="700"/>
      <c r="G85" s="700"/>
      <c r="H85" s="699"/>
      <c r="I85" s="699"/>
      <c r="J85" s="699"/>
      <c r="K85" s="699"/>
    </row>
    <row r="86" spans="1:11">
      <c r="A86" s="698"/>
      <c r="B86" s="699"/>
      <c r="C86" s="699"/>
      <c r="D86" s="700"/>
      <c r="E86" s="700"/>
      <c r="F86" s="765"/>
      <c r="G86" s="765"/>
      <c r="H86" s="699"/>
      <c r="I86" s="699" t="s">
        <v>1807</v>
      </c>
      <c r="J86" s="699"/>
      <c r="K86" s="699"/>
    </row>
    <row r="87" spans="1:11">
      <c r="A87" s="698"/>
      <c r="B87" s="699"/>
      <c r="C87" s="699"/>
      <c r="D87" s="700"/>
      <c r="E87" s="700"/>
      <c r="F87" s="700"/>
      <c r="G87" s="700"/>
      <c r="H87" s="699"/>
      <c r="I87" s="698" t="s">
        <v>1808</v>
      </c>
      <c r="J87" s="699"/>
      <c r="K87" s="699"/>
    </row>
    <row r="88" spans="1:11">
      <c r="A88" s="698"/>
      <c r="B88" s="699"/>
      <c r="C88" s="699"/>
      <c r="D88" s="700"/>
      <c r="E88" s="700"/>
      <c r="F88" s="700"/>
      <c r="G88" s="700"/>
      <c r="H88" s="699"/>
      <c r="I88" s="699"/>
      <c r="J88" s="699"/>
      <c r="K88" s="699"/>
    </row>
    <row r="89" spans="1:11">
      <c r="A89" s="698"/>
      <c r="B89" s="699"/>
      <c r="C89" s="699"/>
      <c r="D89" s="700"/>
      <c r="E89" s="700"/>
      <c r="F89" s="700"/>
      <c r="G89" s="700"/>
      <c r="H89" s="699"/>
      <c r="I89" s="699"/>
      <c r="J89" s="699"/>
      <c r="K89" s="699"/>
    </row>
    <row r="90" spans="1:11">
      <c r="A90" s="698"/>
      <c r="B90" s="699"/>
      <c r="C90" s="699"/>
      <c r="D90" s="700"/>
      <c r="E90" s="700"/>
      <c r="F90" s="700"/>
      <c r="G90" s="700"/>
      <c r="H90" s="699"/>
      <c r="I90" s="699"/>
      <c r="J90" s="699"/>
      <c r="K90" s="699"/>
    </row>
    <row r="91" spans="1:11">
      <c r="A91" s="698"/>
      <c r="B91" s="699"/>
      <c r="C91" s="699"/>
      <c r="D91" s="700"/>
      <c r="E91" s="700"/>
      <c r="F91" s="700"/>
      <c r="G91" s="700"/>
      <c r="H91" s="699"/>
      <c r="I91" s="699"/>
      <c r="J91" s="699"/>
      <c r="K91" s="699"/>
    </row>
    <row r="92" spans="1:11">
      <c r="A92" s="698"/>
      <c r="B92" s="699"/>
      <c r="C92" s="699" t="s">
        <v>1809</v>
      </c>
      <c r="D92" s="700"/>
      <c r="E92" s="700"/>
      <c r="F92" s="700"/>
      <c r="G92" s="700"/>
      <c r="H92" s="699"/>
      <c r="I92" s="699"/>
      <c r="J92" s="699"/>
      <c r="K92" s="699"/>
    </row>
    <row r="93" spans="1:11">
      <c r="A93" s="698"/>
      <c r="B93" s="699"/>
      <c r="C93" s="699"/>
      <c r="D93" s="700"/>
      <c r="E93" s="700"/>
      <c r="F93" s="700"/>
      <c r="G93" s="700"/>
      <c r="H93" s="699"/>
      <c r="I93" s="699"/>
      <c r="J93" s="699"/>
      <c r="K93" s="699"/>
    </row>
  </sheetData>
  <mergeCells count="5">
    <mergeCell ref="B5:C5"/>
    <mergeCell ref="B6:C6"/>
    <mergeCell ref="B7:C7"/>
    <mergeCell ref="B8:C8"/>
    <mergeCell ref="A46:B4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B3:T66"/>
  <sheetViews>
    <sheetView topLeftCell="B12" workbookViewId="0">
      <selection activeCell="K33" sqref="K33"/>
    </sheetView>
  </sheetViews>
  <sheetFormatPr defaultRowHeight="12.75"/>
  <cols>
    <col min="1" max="1" width="7.28515625" style="766" customWidth="1"/>
    <col min="2" max="2" width="10" style="766" customWidth="1"/>
    <col min="3" max="3" width="10.7109375" style="766" customWidth="1"/>
    <col min="4" max="4" width="12.7109375" style="766" customWidth="1"/>
    <col min="5" max="5" width="12" style="766" customWidth="1"/>
    <col min="6" max="6" width="10.85546875" style="766" customWidth="1"/>
    <col min="7" max="7" width="11.140625" style="766" customWidth="1"/>
    <col min="8" max="8" width="10.28515625" style="766" customWidth="1"/>
    <col min="9" max="9" width="11.7109375" style="766" customWidth="1"/>
    <col min="10" max="10" width="13.42578125" style="766" customWidth="1"/>
    <col min="11" max="11" width="12.85546875" style="766" customWidth="1"/>
    <col min="12" max="12" width="11.140625" style="766" customWidth="1"/>
    <col min="13" max="13" width="10.42578125" style="766" customWidth="1"/>
    <col min="14" max="14" width="9.7109375" style="767" customWidth="1"/>
    <col min="15" max="15" width="10.5703125" style="766" customWidth="1"/>
    <col min="16" max="16" width="12.5703125" style="767" customWidth="1"/>
    <col min="17" max="17" width="10.7109375" style="766" customWidth="1"/>
    <col min="18" max="20" width="12.140625" style="766" customWidth="1"/>
    <col min="21" max="16384" width="9.140625" style="766"/>
  </cols>
  <sheetData>
    <row r="3" spans="2:20" ht="13.5" thickBot="1"/>
    <row r="4" spans="2:20" ht="33.75" customHeight="1">
      <c r="B4" s="768" t="s">
        <v>1810</v>
      </c>
      <c r="C4" s="769" t="s">
        <v>1811</v>
      </c>
      <c r="D4" s="770" t="s">
        <v>1819</v>
      </c>
      <c r="E4" s="771" t="s">
        <v>1812</v>
      </c>
      <c r="F4" s="771" t="s">
        <v>1813</v>
      </c>
      <c r="G4" s="771" t="s">
        <v>1814</v>
      </c>
      <c r="H4" s="771" t="s">
        <v>1815</v>
      </c>
      <c r="I4" s="771" t="s">
        <v>1816</v>
      </c>
      <c r="J4" s="772" t="s">
        <v>1817</v>
      </c>
      <c r="K4" s="772" t="s">
        <v>1818</v>
      </c>
      <c r="L4" s="773" t="s">
        <v>1819</v>
      </c>
      <c r="M4" s="774" t="s">
        <v>1820</v>
      </c>
      <c r="N4" s="775" t="s">
        <v>1821</v>
      </c>
      <c r="O4" s="776" t="s">
        <v>1822</v>
      </c>
      <c r="P4" s="775" t="s">
        <v>1823</v>
      </c>
      <c r="Q4" s="777" t="s">
        <v>1824</v>
      </c>
      <c r="R4" s="778" t="s">
        <v>1825</v>
      </c>
      <c r="S4" s="778" t="s">
        <v>1826</v>
      </c>
      <c r="T4" s="779" t="s">
        <v>1827</v>
      </c>
    </row>
    <row r="5" spans="2:20" ht="15.75" customHeight="1">
      <c r="B5" s="780">
        <v>1250000000</v>
      </c>
      <c r="C5" s="781">
        <v>749999997</v>
      </c>
      <c r="D5" s="782">
        <f>B5-C5</f>
        <v>500000003</v>
      </c>
      <c r="E5" s="783">
        <v>83333333</v>
      </c>
      <c r="F5" s="789">
        <v>13522100</v>
      </c>
      <c r="G5" s="783">
        <f>D5-E5</f>
        <v>416666670</v>
      </c>
      <c r="H5" s="783">
        <v>0</v>
      </c>
      <c r="I5" s="766">
        <v>22916667</v>
      </c>
      <c r="J5" s="784">
        <v>83333333</v>
      </c>
      <c r="K5" s="784">
        <f>F5+I5</f>
        <v>36438767</v>
      </c>
      <c r="L5" s="785">
        <f>D5-J5</f>
        <v>416666670</v>
      </c>
      <c r="M5" s="786">
        <v>83333333</v>
      </c>
      <c r="N5" s="787">
        <f>L5*5.5%</f>
        <v>22916666.850000001</v>
      </c>
      <c r="O5" s="783">
        <f>L5-M5</f>
        <v>333333337</v>
      </c>
      <c r="P5" s="787">
        <f>O5*5.5%</f>
        <v>18333333.535</v>
      </c>
      <c r="Q5" s="788">
        <v>0</v>
      </c>
      <c r="R5" s="789">
        <f>M5+Q5</f>
        <v>83333333</v>
      </c>
      <c r="S5" s="790" t="s">
        <v>378</v>
      </c>
      <c r="T5" s="789">
        <f>L5-R5</f>
        <v>333333337</v>
      </c>
    </row>
    <row r="6" spans="2:20" ht="15.75" customHeight="1">
      <c r="B6" s="780">
        <v>1462500000</v>
      </c>
      <c r="C6" s="781">
        <v>877500000</v>
      </c>
      <c r="D6" s="782">
        <f>B6-C6</f>
        <v>585000000</v>
      </c>
      <c r="E6" s="783">
        <v>0</v>
      </c>
      <c r="F6" s="789">
        <v>15820856</v>
      </c>
      <c r="G6" s="783">
        <f>D6-E6</f>
        <v>585000000</v>
      </c>
      <c r="H6" s="783">
        <v>97500000</v>
      </c>
      <c r="I6" s="766">
        <v>32175000</v>
      </c>
      <c r="J6" s="784">
        <v>97500000</v>
      </c>
      <c r="K6" s="784">
        <f>F6+I6</f>
        <v>47995856</v>
      </c>
      <c r="L6" s="785">
        <f>D6-J6</f>
        <v>487500000</v>
      </c>
      <c r="M6" s="786">
        <v>0</v>
      </c>
      <c r="N6" s="791">
        <f>L6*5.5%</f>
        <v>26812500</v>
      </c>
      <c r="O6" s="783">
        <f>L6-M6</f>
        <v>487500000</v>
      </c>
      <c r="P6" s="791">
        <f>O6*5.5%</f>
        <v>26812500</v>
      </c>
      <c r="Q6" s="788">
        <v>97500000</v>
      </c>
      <c r="R6" s="789">
        <f>M6+Q6</f>
        <v>97500000</v>
      </c>
      <c r="S6" s="789">
        <f>N6+P6</f>
        <v>53625000</v>
      </c>
      <c r="T6" s="789">
        <f>L6-R6</f>
        <v>390000000</v>
      </c>
    </row>
    <row r="7" spans="2:20" ht="15.75" customHeight="1">
      <c r="B7" s="780">
        <v>1755000000</v>
      </c>
      <c r="C7" s="781">
        <v>819000000</v>
      </c>
      <c r="D7" s="782">
        <f>B7-C7</f>
        <v>936000000</v>
      </c>
      <c r="E7" s="783">
        <v>117000000</v>
      </c>
      <c r="F7" s="789">
        <v>25313370</v>
      </c>
      <c r="G7" s="783">
        <f>D7-E7</f>
        <v>819000000</v>
      </c>
      <c r="H7" s="783">
        <v>0</v>
      </c>
      <c r="I7" s="766">
        <v>45045000</v>
      </c>
      <c r="J7" s="784">
        <v>117000000</v>
      </c>
      <c r="K7" s="784">
        <f>F7+I7</f>
        <v>70358370</v>
      </c>
      <c r="L7" s="785">
        <f>D7-J7</f>
        <v>819000000</v>
      </c>
      <c r="M7" s="786">
        <v>117000000</v>
      </c>
      <c r="N7" s="791">
        <f>L7*5.5%</f>
        <v>45045000</v>
      </c>
      <c r="O7" s="783">
        <f>L7-M7</f>
        <v>702000000</v>
      </c>
      <c r="P7" s="791">
        <f>O7*5.5%</f>
        <v>38610000</v>
      </c>
      <c r="Q7" s="788">
        <v>0</v>
      </c>
      <c r="R7" s="789">
        <f>M7+Q7</f>
        <v>117000000</v>
      </c>
      <c r="S7" s="789">
        <f>N7+P7</f>
        <v>83655000</v>
      </c>
      <c r="T7" s="789">
        <f>L7-R7</f>
        <v>702000000</v>
      </c>
    </row>
    <row r="8" spans="2:20" ht="15.75" customHeight="1">
      <c r="B8" s="780">
        <v>1670000000</v>
      </c>
      <c r="C8" s="781">
        <v>668003000</v>
      </c>
      <c r="D8" s="782">
        <f>B8-C8</f>
        <v>1001997000</v>
      </c>
      <c r="E8" s="792">
        <v>111333000</v>
      </c>
      <c r="F8" s="789">
        <v>27098206</v>
      </c>
      <c r="G8" s="783">
        <f>D8-E8</f>
        <v>890664000</v>
      </c>
      <c r="H8" s="783">
        <v>0</v>
      </c>
      <c r="I8" s="766">
        <v>48986520</v>
      </c>
      <c r="J8" s="784">
        <v>111333000</v>
      </c>
      <c r="K8" s="784">
        <f>F8+I8</f>
        <v>76084726</v>
      </c>
      <c r="L8" s="785">
        <f>D8-J8</f>
        <v>890664000</v>
      </c>
      <c r="M8" s="793">
        <v>111333000</v>
      </c>
      <c r="N8" s="791">
        <f>L8*5.5%</f>
        <v>48986520</v>
      </c>
      <c r="O8" s="783">
        <f>L8-M8</f>
        <v>779331000</v>
      </c>
      <c r="P8" s="791">
        <f>O8*5.5%</f>
        <v>42863205</v>
      </c>
      <c r="Q8" s="788">
        <v>0</v>
      </c>
      <c r="R8" s="789">
        <f>M8+Q8</f>
        <v>111333000</v>
      </c>
      <c r="S8" s="789">
        <f>N8+P8</f>
        <v>91849725</v>
      </c>
      <c r="T8" s="789">
        <f>L8-R8</f>
        <v>779331000</v>
      </c>
    </row>
    <row r="9" spans="2:20" ht="15.75" customHeight="1" thickBot="1">
      <c r="B9" s="794">
        <f>SUM(B5:B8)</f>
        <v>6137500000</v>
      </c>
      <c r="C9" s="794">
        <f t="shared" ref="C9:L9" si="0">SUM(C5:C8)</f>
        <v>3114502997</v>
      </c>
      <c r="D9" s="795">
        <f t="shared" si="0"/>
        <v>3022997003</v>
      </c>
      <c r="E9" s="796">
        <f t="shared" si="0"/>
        <v>311666333</v>
      </c>
      <c r="F9" s="796">
        <f>SUM(F5:F8)</f>
        <v>81754532</v>
      </c>
      <c r="G9" s="797">
        <f>D9-E9</f>
        <v>2711330670</v>
      </c>
      <c r="H9" s="796">
        <f t="shared" si="0"/>
        <v>97500000</v>
      </c>
      <c r="I9" s="796">
        <f>SUM(I5:I8)</f>
        <v>149123187</v>
      </c>
      <c r="J9" s="796">
        <f>SUM(J5:J8)</f>
        <v>409166333</v>
      </c>
      <c r="K9" s="796">
        <f t="shared" si="0"/>
        <v>230877719</v>
      </c>
      <c r="L9" s="798">
        <f t="shared" si="0"/>
        <v>2613830670</v>
      </c>
      <c r="M9" s="766">
        <f>SUM(M5:M8)</f>
        <v>311666333</v>
      </c>
      <c r="N9" s="799">
        <f>SUM(N5:N8)</f>
        <v>143760686.84999999</v>
      </c>
      <c r="P9" s="799">
        <f>SUM(P5:P8)</f>
        <v>126619038.535</v>
      </c>
      <c r="Q9" s="766">
        <f>SUM(Q5:Q8)</f>
        <v>97500000</v>
      </c>
      <c r="R9" s="789">
        <f>SUM(R5:R8)</f>
        <v>409166333</v>
      </c>
      <c r="S9" s="790">
        <f>SUM(S5:S8)</f>
        <v>229129725</v>
      </c>
      <c r="T9" s="789">
        <f>SUM(T5:T8)</f>
        <v>2204664337</v>
      </c>
    </row>
    <row r="10" spans="2:20" ht="30" customHeight="1" thickBot="1">
      <c r="D10" s="800">
        <v>1</v>
      </c>
      <c r="E10" s="801">
        <v>2</v>
      </c>
      <c r="F10" s="800">
        <v>3</v>
      </c>
      <c r="G10" s="801" t="s">
        <v>1828</v>
      </c>
      <c r="H10" s="800">
        <v>5</v>
      </c>
      <c r="I10" s="801">
        <v>6</v>
      </c>
      <c r="J10" s="800" t="s">
        <v>1829</v>
      </c>
      <c r="K10" s="801" t="s">
        <v>1830</v>
      </c>
      <c r="L10" s="800" t="s">
        <v>1831</v>
      </c>
      <c r="M10" s="801" t="s">
        <v>1832</v>
      </c>
      <c r="N10" s="800">
        <v>11</v>
      </c>
      <c r="O10" s="801" t="s">
        <v>1833</v>
      </c>
    </row>
    <row r="11" spans="2:20" ht="45.75" customHeight="1">
      <c r="D11" s="802" t="s">
        <v>1819</v>
      </c>
      <c r="E11" s="803" t="s">
        <v>1820</v>
      </c>
      <c r="F11" s="803" t="s">
        <v>1821</v>
      </c>
      <c r="G11" s="803" t="s">
        <v>1822</v>
      </c>
      <c r="H11" s="803" t="s">
        <v>1823</v>
      </c>
      <c r="I11" s="803" t="s">
        <v>1824</v>
      </c>
      <c r="J11" s="804" t="s">
        <v>1825</v>
      </c>
      <c r="K11" s="805" t="s">
        <v>1826</v>
      </c>
      <c r="L11" s="806" t="s">
        <v>1827</v>
      </c>
      <c r="M11" s="807" t="s">
        <v>1834</v>
      </c>
      <c r="N11" s="808" t="s">
        <v>1835</v>
      </c>
      <c r="O11" s="809" t="s">
        <v>1836</v>
      </c>
    </row>
    <row r="12" spans="2:20" ht="17.25" customHeight="1">
      <c r="D12" s="810">
        <v>416666670</v>
      </c>
      <c r="E12" s="811">
        <v>83333333</v>
      </c>
      <c r="F12" s="812">
        <f>D12*5.5%</f>
        <v>22916666.850000001</v>
      </c>
      <c r="G12" s="811">
        <f>D12-E12</f>
        <v>333333337</v>
      </c>
      <c r="H12" s="811">
        <f>G12*5.5%</f>
        <v>18333333.535</v>
      </c>
      <c r="I12" s="811">
        <v>0</v>
      </c>
      <c r="J12" s="813">
        <f>E12+I12</f>
        <v>83333333</v>
      </c>
      <c r="K12" s="814">
        <f>F12+H12</f>
        <v>41250000.385000005</v>
      </c>
      <c r="L12" s="815">
        <f>D12-J12</f>
        <v>333333337</v>
      </c>
      <c r="M12" s="816">
        <v>9543379.0717808232</v>
      </c>
      <c r="N12" s="817">
        <f>ROUND(L12*0.11*77/366,0)</f>
        <v>7714026</v>
      </c>
      <c r="O12" s="816">
        <f>K12-M12+N12</f>
        <v>39420647.313219182</v>
      </c>
    </row>
    <row r="13" spans="2:20" ht="17.25" customHeight="1">
      <c r="B13" s="766">
        <v>17</v>
      </c>
      <c r="D13" s="810">
        <v>487500000</v>
      </c>
      <c r="E13" s="811">
        <v>0</v>
      </c>
      <c r="F13" s="811">
        <f>D13*5.5%</f>
        <v>26812500</v>
      </c>
      <c r="G13" s="811">
        <f>D13-E13</f>
        <v>487500000</v>
      </c>
      <c r="H13" s="811">
        <f>G13*5.5%</f>
        <v>26812500</v>
      </c>
      <c r="I13" s="811">
        <v>97500000</v>
      </c>
      <c r="J13" s="813">
        <f>E13+I13</f>
        <v>97500000</v>
      </c>
      <c r="K13" s="818">
        <f>F13+H13</f>
        <v>53625000</v>
      </c>
      <c r="L13" s="815">
        <f>D13-J13</f>
        <v>390000000</v>
      </c>
      <c r="M13" s="816">
        <v>11165753.424657535</v>
      </c>
      <c r="N13" s="817">
        <f>ROUND(L13*0.11*77/366,0)</f>
        <v>9025410</v>
      </c>
      <c r="O13" s="816">
        <f>K13-M13+N13</f>
        <v>51484656.575342461</v>
      </c>
    </row>
    <row r="14" spans="2:20" ht="17.25" customHeight="1">
      <c r="B14" s="766">
        <v>29</v>
      </c>
      <c r="D14" s="810">
        <v>819000000</v>
      </c>
      <c r="E14" s="811">
        <v>117000000</v>
      </c>
      <c r="F14" s="811">
        <f>D14*5.5%</f>
        <v>45045000</v>
      </c>
      <c r="G14" s="811">
        <f>D14-E14</f>
        <v>702000000</v>
      </c>
      <c r="H14" s="811">
        <f>G14*5.5%</f>
        <v>38610000</v>
      </c>
      <c r="I14" s="811">
        <v>0</v>
      </c>
      <c r="J14" s="813">
        <f>E14+I14</f>
        <v>117000000</v>
      </c>
      <c r="K14" s="818">
        <f>F14+H14</f>
        <v>83655000</v>
      </c>
      <c r="L14" s="815">
        <f>D14-J14</f>
        <v>702000000</v>
      </c>
      <c r="M14" s="816">
        <v>18758465.753424659</v>
      </c>
      <c r="N14" s="817">
        <f>ROUND(L14*0.11*77/366,0)</f>
        <v>16245738</v>
      </c>
      <c r="O14" s="816">
        <f>K14-M14+N14</f>
        <v>81142272.246575341</v>
      </c>
    </row>
    <row r="15" spans="2:20" ht="17.25" customHeight="1">
      <c r="B15" s="766">
        <v>31</v>
      </c>
      <c r="D15" s="810">
        <v>890664000</v>
      </c>
      <c r="E15" s="811">
        <v>111333000</v>
      </c>
      <c r="F15" s="811">
        <f>D15*5.5%</f>
        <v>48986520</v>
      </c>
      <c r="G15" s="811">
        <f>D15-E15</f>
        <v>779331000</v>
      </c>
      <c r="H15" s="811">
        <f>G15*5.5%</f>
        <v>42863205</v>
      </c>
      <c r="I15" s="811">
        <v>0</v>
      </c>
      <c r="J15" s="813">
        <f>E15+I15</f>
        <v>111333000</v>
      </c>
      <c r="K15" s="818">
        <f>F15+H15</f>
        <v>91849725</v>
      </c>
      <c r="L15" s="815">
        <f>D15-J15</f>
        <v>779331000</v>
      </c>
      <c r="M15" s="816">
        <v>20399865.8630137</v>
      </c>
      <c r="N15" s="817">
        <f>ROUND(L15*0.11*77/366,0)</f>
        <v>18035338</v>
      </c>
      <c r="O15" s="816">
        <f>K15-M15+N15</f>
        <v>89485197.1369863</v>
      </c>
    </row>
    <row r="16" spans="2:20" ht="17.25" customHeight="1" thickBot="1">
      <c r="D16" s="819">
        <f t="shared" ref="D16:L16" si="1">SUM(D12:D15)</f>
        <v>2613830670</v>
      </c>
      <c r="E16" s="820">
        <f t="shared" si="1"/>
        <v>311666333</v>
      </c>
      <c r="F16" s="821">
        <f t="shared" si="1"/>
        <v>143760686.84999999</v>
      </c>
      <c r="G16" s="820">
        <f t="shared" si="1"/>
        <v>2302164337</v>
      </c>
      <c r="H16" s="820">
        <f t="shared" si="1"/>
        <v>126619038.535</v>
      </c>
      <c r="I16" s="820">
        <f t="shared" si="1"/>
        <v>97500000</v>
      </c>
      <c r="J16" s="822">
        <f t="shared" si="1"/>
        <v>409166333</v>
      </c>
      <c r="K16" s="823">
        <f t="shared" si="1"/>
        <v>270379725.38499999</v>
      </c>
      <c r="L16" s="824">
        <f t="shared" si="1"/>
        <v>2204664337</v>
      </c>
      <c r="M16" s="816">
        <f>SUM(M12:M15)</f>
        <v>59867464.112876713</v>
      </c>
      <c r="N16" s="816">
        <f>SUM(N12:N15)</f>
        <v>51020512</v>
      </c>
      <c r="O16" s="816">
        <f>SUM(O12:O15)</f>
        <v>261532773.27212328</v>
      </c>
      <c r="P16" s="817">
        <f>F16-M16</f>
        <v>83893222.737123281</v>
      </c>
    </row>
    <row r="17" spans="4:15" ht="6.75" customHeight="1" thickBot="1"/>
    <row r="18" spans="4:15" ht="27.75" customHeight="1">
      <c r="D18" s="802" t="s">
        <v>1827</v>
      </c>
      <c r="E18" s="803" t="s">
        <v>1837</v>
      </c>
      <c r="F18" s="803" t="s">
        <v>1838</v>
      </c>
      <c r="G18" s="803" t="s">
        <v>1839</v>
      </c>
      <c r="H18" s="803" t="s">
        <v>1840</v>
      </c>
      <c r="I18" s="803" t="s">
        <v>1841</v>
      </c>
      <c r="J18" s="804" t="s">
        <v>1842</v>
      </c>
      <c r="K18" s="805" t="s">
        <v>1843</v>
      </c>
      <c r="L18" s="806" t="s">
        <v>1844</v>
      </c>
    </row>
    <row r="19" spans="4:15" ht="16.5" customHeight="1">
      <c r="D19" s="810">
        <v>333333337</v>
      </c>
      <c r="E19" s="811">
        <v>83333333</v>
      </c>
      <c r="F19" s="812">
        <f>D19*5.5%</f>
        <v>18333333.535</v>
      </c>
      <c r="G19" s="811">
        <f>D19-E19</f>
        <v>250000004</v>
      </c>
      <c r="H19" s="811">
        <f>G19*5.5%</f>
        <v>13750000.220000001</v>
      </c>
      <c r="I19" s="811">
        <v>0</v>
      </c>
      <c r="J19" s="813">
        <f>E19+I19</f>
        <v>83333333</v>
      </c>
      <c r="K19" s="814">
        <f>F19+H19</f>
        <v>32083333.755000003</v>
      </c>
      <c r="L19" s="815">
        <f>D19-J19</f>
        <v>250000004</v>
      </c>
      <c r="M19" s="817">
        <v>7714026</v>
      </c>
      <c r="N19" s="767">
        <f>ROUND(L19*0.11*76/365,0)</f>
        <v>5726027</v>
      </c>
      <c r="O19" s="816">
        <f>K19-M19+N19</f>
        <v>30095334.755000003</v>
      </c>
    </row>
    <row r="20" spans="4:15" ht="16.5" customHeight="1">
      <c r="D20" s="810">
        <v>390000000</v>
      </c>
      <c r="E20" s="811">
        <v>0</v>
      </c>
      <c r="F20" s="811">
        <f>D20*5.5%</f>
        <v>21450000</v>
      </c>
      <c r="G20" s="811">
        <f>D20-E20</f>
        <v>390000000</v>
      </c>
      <c r="H20" s="811">
        <f>G20*5.5%</f>
        <v>21450000</v>
      </c>
      <c r="I20" s="811">
        <v>97500000</v>
      </c>
      <c r="J20" s="813">
        <f>E20+I20</f>
        <v>97500000</v>
      </c>
      <c r="K20" s="818">
        <f>F20+H20</f>
        <v>42900000</v>
      </c>
      <c r="L20" s="815">
        <f>D20-J20</f>
        <v>292500000</v>
      </c>
      <c r="M20" s="817">
        <v>9025410</v>
      </c>
      <c r="N20" s="767">
        <f>ROUND(L20*0.11*76/365,0)</f>
        <v>6699452</v>
      </c>
      <c r="O20" s="766">
        <f>K20-M20+N20</f>
        <v>40574042</v>
      </c>
    </row>
    <row r="21" spans="4:15" ht="16.5" customHeight="1">
      <c r="D21" s="810">
        <v>702000000</v>
      </c>
      <c r="E21" s="811">
        <v>117000000</v>
      </c>
      <c r="F21" s="811">
        <f>D21*5.5%</f>
        <v>38610000</v>
      </c>
      <c r="G21" s="811">
        <f>D21-E21</f>
        <v>585000000</v>
      </c>
      <c r="H21" s="811">
        <f>G21*5.5%</f>
        <v>32175000</v>
      </c>
      <c r="I21" s="811">
        <v>0</v>
      </c>
      <c r="J21" s="813">
        <f>E21+I21</f>
        <v>117000000</v>
      </c>
      <c r="K21" s="818">
        <f>F21+H21</f>
        <v>70785000</v>
      </c>
      <c r="L21" s="815">
        <f>D21-J21</f>
        <v>585000000</v>
      </c>
      <c r="M21" s="817">
        <v>16245738</v>
      </c>
      <c r="N21" s="767">
        <f>ROUND(L21*0.11*76/365,0)</f>
        <v>13398904</v>
      </c>
      <c r="O21" s="766">
        <f>K21-M21+N21</f>
        <v>67938166</v>
      </c>
    </row>
    <row r="22" spans="4:15" ht="16.5" customHeight="1">
      <c r="D22" s="810">
        <v>779331000</v>
      </c>
      <c r="E22" s="811">
        <v>111333000</v>
      </c>
      <c r="F22" s="811">
        <f>D22*5.5%</f>
        <v>42863205</v>
      </c>
      <c r="G22" s="811">
        <f>D22-E22</f>
        <v>667998000</v>
      </c>
      <c r="H22" s="811">
        <f>G22*5.5%</f>
        <v>36739890</v>
      </c>
      <c r="I22" s="811">
        <v>0</v>
      </c>
      <c r="J22" s="813">
        <f>E22+I22</f>
        <v>111333000</v>
      </c>
      <c r="K22" s="818">
        <f>F22+H22</f>
        <v>79603095</v>
      </c>
      <c r="L22" s="815">
        <f>D22-J22</f>
        <v>667998000</v>
      </c>
      <c r="M22" s="817">
        <v>18035338</v>
      </c>
      <c r="N22" s="767">
        <f>ROUND(L22*0.11*76/365,0)</f>
        <v>15299899</v>
      </c>
      <c r="O22" s="766">
        <f>K22-M22+N22</f>
        <v>76867656</v>
      </c>
    </row>
    <row r="23" spans="4:15" ht="16.5" customHeight="1" thickBot="1">
      <c r="D23" s="819">
        <f>SUM(D19:D22)</f>
        <v>2204664337</v>
      </c>
      <c r="E23" s="820">
        <f>SUM(E19:E22)</f>
        <v>311666333</v>
      </c>
      <c r="F23" s="821">
        <f>SUM(F19:F22)</f>
        <v>121256538.535</v>
      </c>
      <c r="G23" s="820">
        <f>D23-E23</f>
        <v>1892998004</v>
      </c>
      <c r="H23" s="820">
        <f t="shared" ref="H23:O23" si="2">SUM(H19:H22)</f>
        <v>104114890.22</v>
      </c>
      <c r="I23" s="820">
        <f t="shared" si="2"/>
        <v>97500000</v>
      </c>
      <c r="J23" s="822">
        <f t="shared" si="2"/>
        <v>409166333</v>
      </c>
      <c r="K23" s="823">
        <f t="shared" si="2"/>
        <v>225371428.755</v>
      </c>
      <c r="L23" s="824">
        <f t="shared" si="2"/>
        <v>1795498004</v>
      </c>
      <c r="M23" s="824">
        <f t="shared" si="2"/>
        <v>51020512</v>
      </c>
      <c r="N23" s="824">
        <f t="shared" si="2"/>
        <v>41124282</v>
      </c>
      <c r="O23" s="824">
        <f t="shared" si="2"/>
        <v>215475198.755</v>
      </c>
    </row>
    <row r="24" spans="4:15" ht="6.75" customHeight="1" thickBot="1"/>
    <row r="25" spans="4:15" ht="25.5">
      <c r="D25" s="802" t="s">
        <v>1844</v>
      </c>
      <c r="E25" s="803" t="s">
        <v>1845</v>
      </c>
      <c r="F25" s="803" t="s">
        <v>1846</v>
      </c>
      <c r="G25" s="803" t="s">
        <v>1847</v>
      </c>
      <c r="H25" s="803" t="s">
        <v>1848</v>
      </c>
      <c r="I25" s="803" t="s">
        <v>1849</v>
      </c>
      <c r="J25" s="804" t="s">
        <v>1850</v>
      </c>
      <c r="K25" s="805" t="s">
        <v>1851</v>
      </c>
      <c r="L25" s="806" t="s">
        <v>1852</v>
      </c>
    </row>
    <row r="26" spans="4:15">
      <c r="D26" s="815">
        <v>250000004</v>
      </c>
      <c r="E26" s="811">
        <v>83333333</v>
      </c>
      <c r="F26" s="812">
        <f>D26*5.5%</f>
        <v>13750000.220000001</v>
      </c>
      <c r="G26" s="811">
        <f>D26-E26</f>
        <v>166666671</v>
      </c>
      <c r="H26" s="811">
        <f>G26*5.5%</f>
        <v>9166666.9049999993</v>
      </c>
      <c r="I26" s="811">
        <v>0</v>
      </c>
      <c r="J26" s="813">
        <f>E26+I26</f>
        <v>83333333</v>
      </c>
      <c r="K26" s="814">
        <f>F26+H26</f>
        <v>22916667.125</v>
      </c>
      <c r="L26" s="815">
        <f>D26-J26</f>
        <v>166666671</v>
      </c>
      <c r="M26" s="766">
        <v>5726027</v>
      </c>
      <c r="N26" s="767">
        <f>ROUND(L26*0.11*76/365,0)</f>
        <v>3817352</v>
      </c>
      <c r="O26" s="816">
        <f>K26-M26+N26</f>
        <v>21007992.125</v>
      </c>
    </row>
    <row r="27" spans="4:15">
      <c r="D27" s="815">
        <v>292500000</v>
      </c>
      <c r="E27" s="811">
        <v>0</v>
      </c>
      <c r="F27" s="811">
        <f>D27*5.5%</f>
        <v>16087500</v>
      </c>
      <c r="G27" s="811">
        <f>D27-E27</f>
        <v>292500000</v>
      </c>
      <c r="H27" s="811">
        <f>G27*5.5%</f>
        <v>16087500</v>
      </c>
      <c r="I27" s="811">
        <v>97500000</v>
      </c>
      <c r="J27" s="813">
        <f>E27+I27</f>
        <v>97500000</v>
      </c>
      <c r="K27" s="818">
        <f>F27+H27</f>
        <v>32175000</v>
      </c>
      <c r="L27" s="815">
        <f>D27-J27</f>
        <v>195000000</v>
      </c>
      <c r="M27" s="766">
        <v>6699452</v>
      </c>
      <c r="N27" s="767">
        <f>ROUND(L27*0.11*76/365,0)</f>
        <v>4466301</v>
      </c>
      <c r="O27" s="766">
        <f>K27-M27+N27</f>
        <v>29941849</v>
      </c>
    </row>
    <row r="28" spans="4:15">
      <c r="D28" s="815">
        <v>585000000</v>
      </c>
      <c r="E28" s="811">
        <v>117000000</v>
      </c>
      <c r="F28" s="811">
        <f>D28*5.5%</f>
        <v>32175000</v>
      </c>
      <c r="G28" s="811">
        <f>D28-E28</f>
        <v>468000000</v>
      </c>
      <c r="H28" s="811">
        <f>G28*5.5%</f>
        <v>25740000</v>
      </c>
      <c r="I28" s="811">
        <v>0</v>
      </c>
      <c r="J28" s="813">
        <f>E28+I28</f>
        <v>117000000</v>
      </c>
      <c r="K28" s="818">
        <f>F28+H28</f>
        <v>57915000</v>
      </c>
      <c r="L28" s="815">
        <f>D28-J28</f>
        <v>468000000</v>
      </c>
      <c r="M28" s="766">
        <v>13398904</v>
      </c>
      <c r="N28" s="767">
        <f>ROUND(L28*0.11*76/365,0)</f>
        <v>10719123</v>
      </c>
      <c r="O28" s="766">
        <f>K28-M28+N28</f>
        <v>55235219</v>
      </c>
    </row>
    <row r="29" spans="4:15">
      <c r="D29" s="815">
        <v>667998000</v>
      </c>
      <c r="E29" s="811">
        <v>111333000</v>
      </c>
      <c r="F29" s="811">
        <f>D29*5.5%</f>
        <v>36739890</v>
      </c>
      <c r="G29" s="811">
        <f>D29-E29</f>
        <v>556665000</v>
      </c>
      <c r="H29" s="811">
        <f>G29*5.5%</f>
        <v>30616575</v>
      </c>
      <c r="I29" s="811">
        <v>0</v>
      </c>
      <c r="J29" s="813">
        <f>E29+I29</f>
        <v>111333000</v>
      </c>
      <c r="K29" s="818">
        <f>F29+H29</f>
        <v>67356465</v>
      </c>
      <c r="L29" s="815">
        <f>D29-J29</f>
        <v>556665000</v>
      </c>
      <c r="M29" s="766">
        <v>15299899</v>
      </c>
      <c r="N29" s="767">
        <f>ROUND(L29*0.11*76/365,0)</f>
        <v>12749916</v>
      </c>
      <c r="O29" s="766">
        <f>K29-M29+N29</f>
        <v>64806482</v>
      </c>
    </row>
    <row r="30" spans="4:15" ht="13.5" thickBot="1">
      <c r="D30" s="819">
        <f>SUM(D26:D29)</f>
        <v>1795498004</v>
      </c>
      <c r="E30" s="820">
        <f>SUM(E26:E29)</f>
        <v>311666333</v>
      </c>
      <c r="F30" s="821">
        <f>SUM(F26:F29)</f>
        <v>98752390.219999999</v>
      </c>
      <c r="G30" s="820">
        <f>D30-E30</f>
        <v>1483831671</v>
      </c>
      <c r="H30" s="820">
        <f t="shared" ref="H30:O30" si="3">SUM(H26:H29)</f>
        <v>81610741.905000001</v>
      </c>
      <c r="I30" s="820">
        <f t="shared" si="3"/>
        <v>97500000</v>
      </c>
      <c r="J30" s="822">
        <f t="shared" si="3"/>
        <v>409166333</v>
      </c>
      <c r="K30" s="823">
        <f t="shared" si="3"/>
        <v>180363132.125</v>
      </c>
      <c r="L30" s="824">
        <f t="shared" si="3"/>
        <v>1386331671</v>
      </c>
      <c r="M30" s="824">
        <f t="shared" si="3"/>
        <v>41124282</v>
      </c>
      <c r="N30" s="824">
        <f t="shared" si="3"/>
        <v>31752692</v>
      </c>
      <c r="O30" s="824">
        <f t="shared" si="3"/>
        <v>170991542.125</v>
      </c>
    </row>
    <row r="31" spans="4:15" ht="6.75" customHeight="1" thickBot="1"/>
    <row r="32" spans="4:15" ht="25.5">
      <c r="D32" s="802" t="s">
        <v>1852</v>
      </c>
      <c r="E32" s="825" t="s">
        <v>1853</v>
      </c>
      <c r="F32" s="825" t="s">
        <v>1854</v>
      </c>
      <c r="G32" s="825" t="s">
        <v>1855</v>
      </c>
      <c r="H32" s="825" t="s">
        <v>1856</v>
      </c>
      <c r="I32" s="825" t="s">
        <v>1857</v>
      </c>
      <c r="J32" s="826" t="s">
        <v>1858</v>
      </c>
      <c r="K32" s="805" t="s">
        <v>1859</v>
      </c>
      <c r="L32" s="806" t="s">
        <v>1860</v>
      </c>
    </row>
    <row r="33" spans="4:16">
      <c r="D33" s="815">
        <v>166666671</v>
      </c>
      <c r="E33" s="811">
        <v>83333333</v>
      </c>
      <c r="F33" s="812">
        <f>D33*5.5%</f>
        <v>9166666.9049999993</v>
      </c>
      <c r="G33" s="811">
        <f>D33-E33</f>
        <v>83333338</v>
      </c>
      <c r="H33" s="811">
        <f>G33*5.5%</f>
        <v>4583333.59</v>
      </c>
      <c r="I33" s="811">
        <v>0</v>
      </c>
      <c r="J33" s="813">
        <f>E33+I33</f>
        <v>83333333</v>
      </c>
      <c r="K33" s="814">
        <f>F33+H33</f>
        <v>13750000.494999999</v>
      </c>
      <c r="L33" s="815">
        <f>D33-J33</f>
        <v>83333338</v>
      </c>
      <c r="M33" s="766">
        <v>3817352</v>
      </c>
      <c r="N33" s="767">
        <f>ROUND(L33*0.11*76/365,0)</f>
        <v>1908676</v>
      </c>
      <c r="O33" s="816">
        <f>K33-M33+N33</f>
        <v>11841324.494999999</v>
      </c>
    </row>
    <row r="34" spans="4:16">
      <c r="D34" s="815">
        <v>195000000</v>
      </c>
      <c r="E34" s="811">
        <v>0</v>
      </c>
      <c r="F34" s="811">
        <f>D34*5.5%</f>
        <v>10725000</v>
      </c>
      <c r="G34" s="811">
        <f>D34-E34</f>
        <v>195000000</v>
      </c>
      <c r="H34" s="811">
        <f>G34*5.5%</f>
        <v>10725000</v>
      </c>
      <c r="I34" s="811">
        <v>97500000</v>
      </c>
      <c r="J34" s="813">
        <f>E34+I34</f>
        <v>97500000</v>
      </c>
      <c r="K34" s="818">
        <f>F34+H34</f>
        <v>21450000</v>
      </c>
      <c r="L34" s="815">
        <f>D34-J34</f>
        <v>97500000</v>
      </c>
      <c r="M34" s="766">
        <v>4466301</v>
      </c>
      <c r="N34" s="767">
        <f>ROUND(L34*0.11*76/365,0)</f>
        <v>2233151</v>
      </c>
      <c r="O34" s="816">
        <f>K34-M34+N34</f>
        <v>19216850</v>
      </c>
    </row>
    <row r="35" spans="4:16">
      <c r="D35" s="815">
        <v>468000000</v>
      </c>
      <c r="E35" s="811">
        <v>117000000</v>
      </c>
      <c r="F35" s="811">
        <f>D35*5.5%</f>
        <v>25740000</v>
      </c>
      <c r="G35" s="811">
        <f>D35-E35</f>
        <v>351000000</v>
      </c>
      <c r="H35" s="811">
        <f>G35*5.5%</f>
        <v>19305000</v>
      </c>
      <c r="I35" s="811">
        <v>0</v>
      </c>
      <c r="J35" s="813">
        <f>E35+I35</f>
        <v>117000000</v>
      </c>
      <c r="K35" s="818">
        <f>F35+H35</f>
        <v>45045000</v>
      </c>
      <c r="L35" s="815">
        <f>D35-J35</f>
        <v>351000000</v>
      </c>
      <c r="M35" s="766">
        <v>10719123</v>
      </c>
      <c r="N35" s="767">
        <f>ROUND(L35*0.11*76/365,0)</f>
        <v>8039342</v>
      </c>
      <c r="O35" s="816">
        <f>K35-M35+N35</f>
        <v>42365219</v>
      </c>
    </row>
    <row r="36" spans="4:16">
      <c r="D36" s="815">
        <v>556665000</v>
      </c>
      <c r="E36" s="811">
        <v>111333000</v>
      </c>
      <c r="F36" s="811">
        <f>D36*5.5%</f>
        <v>30616575</v>
      </c>
      <c r="G36" s="811">
        <f>D36-E36</f>
        <v>445332000</v>
      </c>
      <c r="H36" s="811">
        <f>G36*5.5%</f>
        <v>24493260</v>
      </c>
      <c r="I36" s="811">
        <v>0</v>
      </c>
      <c r="J36" s="813">
        <f>E36+I36</f>
        <v>111333000</v>
      </c>
      <c r="K36" s="818">
        <f>F36+H36</f>
        <v>55109835</v>
      </c>
      <c r="L36" s="815">
        <f>D36-J36</f>
        <v>445332000</v>
      </c>
      <c r="M36" s="766">
        <v>12749916</v>
      </c>
      <c r="N36" s="767">
        <f>ROUND(L36*0.11*76/365,0)</f>
        <v>10199933</v>
      </c>
      <c r="O36" s="816">
        <f>K36-M36+N36</f>
        <v>52559852</v>
      </c>
    </row>
    <row r="37" spans="4:16" ht="13.5" thickBot="1">
      <c r="D37" s="819">
        <f>SUM(D33:D36)</f>
        <v>1386331671</v>
      </c>
      <c r="E37" s="820">
        <f>SUM(E33:E36)</f>
        <v>311666333</v>
      </c>
      <c r="F37" s="821">
        <f>SUM(F33:F36)</f>
        <v>76248241.905000001</v>
      </c>
      <c r="G37" s="820">
        <f>D37-E37</f>
        <v>1074665338</v>
      </c>
      <c r="H37" s="820">
        <f t="shared" ref="H37:O37" si="4">SUM(H33:H36)</f>
        <v>59106593.590000004</v>
      </c>
      <c r="I37" s="820">
        <f t="shared" si="4"/>
        <v>97500000</v>
      </c>
      <c r="J37" s="822">
        <f t="shared" si="4"/>
        <v>409166333</v>
      </c>
      <c r="K37" s="823">
        <f t="shared" si="4"/>
        <v>135354835.495</v>
      </c>
      <c r="L37" s="824">
        <f t="shared" si="4"/>
        <v>977165338</v>
      </c>
      <c r="M37" s="824">
        <f t="shared" si="4"/>
        <v>31752692</v>
      </c>
      <c r="N37" s="824">
        <f t="shared" si="4"/>
        <v>22381102</v>
      </c>
      <c r="O37" s="824">
        <f t="shared" si="4"/>
        <v>125983245.495</v>
      </c>
    </row>
    <row r="38" spans="4:16" ht="5.25" customHeight="1" thickBot="1"/>
    <row r="39" spans="4:16" ht="25.5">
      <c r="D39" s="802" t="s">
        <v>1860</v>
      </c>
      <c r="E39" s="803" t="s">
        <v>1861</v>
      </c>
      <c r="F39" s="803" t="s">
        <v>1862</v>
      </c>
      <c r="G39" s="803" t="s">
        <v>1863</v>
      </c>
      <c r="H39" s="803" t="s">
        <v>1864</v>
      </c>
      <c r="I39" s="803" t="s">
        <v>1865</v>
      </c>
      <c r="J39" s="804" t="s">
        <v>1866</v>
      </c>
      <c r="K39" s="805" t="s">
        <v>1867</v>
      </c>
      <c r="L39" s="806" t="s">
        <v>1868</v>
      </c>
    </row>
    <row r="40" spans="4:16">
      <c r="D40" s="815">
        <v>83333338</v>
      </c>
      <c r="E40" s="811">
        <v>83333338</v>
      </c>
      <c r="F40" s="812">
        <f>D40*5.5%</f>
        <v>4583333.59</v>
      </c>
      <c r="G40" s="811">
        <f>D40-E40</f>
        <v>0</v>
      </c>
      <c r="H40" s="811">
        <f>G40*5.5%</f>
        <v>0</v>
      </c>
      <c r="I40" s="811">
        <v>0</v>
      </c>
      <c r="J40" s="813">
        <f>E40+I40</f>
        <v>83333338</v>
      </c>
      <c r="K40" s="814">
        <f>F40+H40</f>
        <v>4583333.59</v>
      </c>
      <c r="L40" s="815">
        <f>D40-J40</f>
        <v>0</v>
      </c>
      <c r="M40" s="766">
        <v>1908676</v>
      </c>
      <c r="N40" s="767">
        <f>ROUND(L40*0.11*77/366,0)</f>
        <v>0</v>
      </c>
      <c r="O40" s="816">
        <f>K40-M40+N40</f>
        <v>2674657.59</v>
      </c>
    </row>
    <row r="41" spans="4:16">
      <c r="D41" s="815">
        <v>97500000</v>
      </c>
      <c r="E41" s="811">
        <v>0</v>
      </c>
      <c r="F41" s="811">
        <f>D41*5.5%</f>
        <v>5362500</v>
      </c>
      <c r="G41" s="811">
        <f>D41-E41</f>
        <v>97500000</v>
      </c>
      <c r="H41" s="811">
        <f>G41*5.5%</f>
        <v>5362500</v>
      </c>
      <c r="I41" s="811">
        <v>97500000</v>
      </c>
      <c r="J41" s="813">
        <f>E41+I41</f>
        <v>97500000</v>
      </c>
      <c r="K41" s="818">
        <f>F41+H41</f>
        <v>10725000</v>
      </c>
      <c r="L41" s="815">
        <f>D41-J41</f>
        <v>0</v>
      </c>
      <c r="M41" s="766">
        <v>2233151</v>
      </c>
      <c r="N41" s="767">
        <f>ROUND(L41*0.11*77/366,0)</f>
        <v>0</v>
      </c>
      <c r="O41" s="766">
        <f>K41-M41+N41</f>
        <v>8491849</v>
      </c>
    </row>
    <row r="42" spans="4:16">
      <c r="D42" s="815">
        <v>351000000</v>
      </c>
      <c r="E42" s="811">
        <v>117000000</v>
      </c>
      <c r="F42" s="811">
        <f>D42*5.5%</f>
        <v>19305000</v>
      </c>
      <c r="G42" s="811">
        <f>D42-E42</f>
        <v>234000000</v>
      </c>
      <c r="H42" s="811">
        <f>G42*5.5%</f>
        <v>12870000</v>
      </c>
      <c r="I42" s="811">
        <v>0</v>
      </c>
      <c r="J42" s="813">
        <f>E42+I42</f>
        <v>117000000</v>
      </c>
      <c r="K42" s="818">
        <f>F42+H42</f>
        <v>32175000</v>
      </c>
      <c r="L42" s="815">
        <f>D42-J42</f>
        <v>234000000</v>
      </c>
      <c r="M42" s="766">
        <v>8039342</v>
      </c>
      <c r="N42" s="767">
        <f>ROUND(L42*0.11*77/366,0)</f>
        <v>5415246</v>
      </c>
      <c r="O42" s="766">
        <f>K42-M42+N42</f>
        <v>29550904</v>
      </c>
    </row>
    <row r="43" spans="4:16">
      <c r="D43" s="815">
        <v>445332000</v>
      </c>
      <c r="E43" s="811">
        <v>111333000</v>
      </c>
      <c r="F43" s="811">
        <f>D43*5.5%</f>
        <v>24493260</v>
      </c>
      <c r="G43" s="811">
        <f>D43-E43</f>
        <v>333999000</v>
      </c>
      <c r="H43" s="811">
        <f>G43*5.5%</f>
        <v>18369945</v>
      </c>
      <c r="I43" s="811">
        <v>0</v>
      </c>
      <c r="J43" s="813">
        <f>E43+I43</f>
        <v>111333000</v>
      </c>
      <c r="K43" s="818">
        <f>F43+H43</f>
        <v>42863205</v>
      </c>
      <c r="L43" s="815">
        <f>D43-J43</f>
        <v>333999000</v>
      </c>
      <c r="M43" s="766">
        <v>10199933</v>
      </c>
      <c r="N43" s="767">
        <f>ROUND(L43*0.11*77/366,0)</f>
        <v>7729430</v>
      </c>
      <c r="O43" s="766">
        <f>K43-M43+N43</f>
        <v>40392702</v>
      </c>
    </row>
    <row r="44" spans="4:16" ht="13.5" thickBot="1">
      <c r="D44" s="819">
        <f>SUM(D40:D43)</f>
        <v>977165338</v>
      </c>
      <c r="E44" s="820">
        <f>SUM(E40:E43)</f>
        <v>311666338</v>
      </c>
      <c r="F44" s="821">
        <f>SUM(F40:F43)</f>
        <v>53744093.590000004</v>
      </c>
      <c r="G44" s="820">
        <f>D44-E44</f>
        <v>665499000</v>
      </c>
      <c r="H44" s="820">
        <f t="shared" ref="H44:O44" si="5">SUM(H40:H43)</f>
        <v>36602445</v>
      </c>
      <c r="I44" s="820">
        <f t="shared" si="5"/>
        <v>97500000</v>
      </c>
      <c r="J44" s="822">
        <f t="shared" si="5"/>
        <v>409166338</v>
      </c>
      <c r="K44" s="823">
        <f t="shared" si="5"/>
        <v>90346538.590000004</v>
      </c>
      <c r="L44" s="824">
        <f t="shared" si="5"/>
        <v>567999000</v>
      </c>
      <c r="M44" s="824">
        <f t="shared" si="5"/>
        <v>22381102</v>
      </c>
      <c r="N44" s="824">
        <f t="shared" si="5"/>
        <v>13144676</v>
      </c>
      <c r="O44" s="827">
        <f t="shared" si="5"/>
        <v>81110112.590000004</v>
      </c>
    </row>
    <row r="45" spans="4:16" ht="6.75" customHeight="1" thickBot="1"/>
    <row r="46" spans="4:16" ht="25.5">
      <c r="D46" s="802" t="s">
        <v>1868</v>
      </c>
      <c r="E46" s="803" t="s">
        <v>1869</v>
      </c>
      <c r="F46" s="803" t="s">
        <v>1870</v>
      </c>
      <c r="G46" s="803" t="s">
        <v>1871</v>
      </c>
      <c r="H46" s="803" t="s">
        <v>1872</v>
      </c>
      <c r="I46" s="803" t="s">
        <v>1865</v>
      </c>
      <c r="J46" s="804" t="s">
        <v>1873</v>
      </c>
      <c r="K46" s="805" t="s">
        <v>1874</v>
      </c>
      <c r="L46" s="806" t="s">
        <v>1875</v>
      </c>
    </row>
    <row r="47" spans="4:16" s="794" customFormat="1" ht="9" customHeight="1">
      <c r="D47" s="828">
        <v>0</v>
      </c>
      <c r="E47" s="829">
        <v>0</v>
      </c>
      <c r="F47" s="830">
        <f>D47*5.5%</f>
        <v>0</v>
      </c>
      <c r="G47" s="829">
        <f>D47-E47</f>
        <v>0</v>
      </c>
      <c r="H47" s="829">
        <f>G47*5.5%</f>
        <v>0</v>
      </c>
      <c r="I47" s="829">
        <v>0</v>
      </c>
      <c r="J47" s="831">
        <f>E47+I47</f>
        <v>0</v>
      </c>
      <c r="K47" s="832">
        <f>F47+H47</f>
        <v>0</v>
      </c>
      <c r="L47" s="828">
        <f>D47-J47</f>
        <v>0</v>
      </c>
      <c r="M47" s="794">
        <v>0</v>
      </c>
      <c r="N47" s="833">
        <f>ROUND(L47*0.11*77/366,0)</f>
        <v>0</v>
      </c>
      <c r="O47" s="794">
        <f>K47-M47+N47</f>
        <v>0</v>
      </c>
      <c r="P47" s="833"/>
    </row>
    <row r="48" spans="4:16" s="794" customFormat="1" ht="9" customHeight="1">
      <c r="D48" s="828">
        <v>0</v>
      </c>
      <c r="E48" s="829">
        <v>0</v>
      </c>
      <c r="F48" s="829">
        <f>D48*5.5%</f>
        <v>0</v>
      </c>
      <c r="G48" s="829">
        <f>D48-E48</f>
        <v>0</v>
      </c>
      <c r="H48" s="829">
        <f>G48*5.5%</f>
        <v>0</v>
      </c>
      <c r="I48" s="829">
        <v>0</v>
      </c>
      <c r="J48" s="831">
        <f>E48+I48</f>
        <v>0</v>
      </c>
      <c r="K48" s="834">
        <f>F48+H48</f>
        <v>0</v>
      </c>
      <c r="L48" s="828">
        <f>D48-J48</f>
        <v>0</v>
      </c>
      <c r="M48" s="794">
        <v>0</v>
      </c>
      <c r="N48" s="833">
        <f>ROUND(L48*0.11*77/366,0)</f>
        <v>0</v>
      </c>
      <c r="O48" s="794">
        <f>K48-M48+N48</f>
        <v>0</v>
      </c>
      <c r="P48" s="833"/>
    </row>
    <row r="49" spans="4:16">
      <c r="D49" s="815">
        <v>234000000</v>
      </c>
      <c r="E49" s="811">
        <v>117000000</v>
      </c>
      <c r="F49" s="811">
        <f>D49*5.5%</f>
        <v>12870000</v>
      </c>
      <c r="G49" s="811">
        <f>D49-E49</f>
        <v>117000000</v>
      </c>
      <c r="H49" s="811">
        <f>G49*5.5%</f>
        <v>6435000</v>
      </c>
      <c r="I49" s="811">
        <v>0</v>
      </c>
      <c r="J49" s="813">
        <f>E49+I49</f>
        <v>117000000</v>
      </c>
      <c r="K49" s="818">
        <f>F49+H49</f>
        <v>19305000</v>
      </c>
      <c r="L49" s="815">
        <f>D49-J49</f>
        <v>117000000</v>
      </c>
      <c r="M49" s="766">
        <v>5415246</v>
      </c>
      <c r="N49" s="767">
        <f>ROUND(L49*0.11*77/366,0)</f>
        <v>2707623</v>
      </c>
      <c r="O49" s="766">
        <f>K49-M49+N49</f>
        <v>16597377</v>
      </c>
    </row>
    <row r="50" spans="4:16">
      <c r="D50" s="815">
        <v>333999000</v>
      </c>
      <c r="E50" s="811">
        <v>111333000</v>
      </c>
      <c r="F50" s="811">
        <f>D50*5.5%</f>
        <v>18369945</v>
      </c>
      <c r="G50" s="811">
        <f>D50-E50</f>
        <v>222666000</v>
      </c>
      <c r="H50" s="811">
        <f>G50*5.5%</f>
        <v>12246630</v>
      </c>
      <c r="I50" s="811">
        <v>0</v>
      </c>
      <c r="J50" s="813">
        <f>E50+I50</f>
        <v>111333000</v>
      </c>
      <c r="K50" s="818">
        <f>F50+H50</f>
        <v>30616575</v>
      </c>
      <c r="L50" s="815">
        <f>D50-J50</f>
        <v>222666000</v>
      </c>
      <c r="M50" s="766">
        <v>7729430</v>
      </c>
      <c r="N50" s="767">
        <f>ROUND(L50*0.11*77/366,0)</f>
        <v>5152954</v>
      </c>
      <c r="O50" s="766">
        <f>K50-M50+N50</f>
        <v>28040099</v>
      </c>
    </row>
    <row r="51" spans="4:16" ht="13.5" thickBot="1">
      <c r="D51" s="819">
        <f>SUM(D47:D50)</f>
        <v>567999000</v>
      </c>
      <c r="E51" s="820">
        <f>SUM(E47:E50)</f>
        <v>228333000</v>
      </c>
      <c r="F51" s="821">
        <f>SUM(F47:F50)</f>
        <v>31239945</v>
      </c>
      <c r="G51" s="820">
        <f>D51-E51</f>
        <v>339666000</v>
      </c>
      <c r="H51" s="820">
        <f t="shared" ref="H51:O51" si="6">SUM(H47:H50)</f>
        <v>18681630</v>
      </c>
      <c r="I51" s="820">
        <f t="shared" si="6"/>
        <v>0</v>
      </c>
      <c r="J51" s="822">
        <f t="shared" si="6"/>
        <v>228333000</v>
      </c>
      <c r="K51" s="823">
        <f t="shared" si="6"/>
        <v>49921575</v>
      </c>
      <c r="L51" s="824">
        <f t="shared" si="6"/>
        <v>339666000</v>
      </c>
      <c r="M51" s="824">
        <f t="shared" si="6"/>
        <v>13144676</v>
      </c>
      <c r="N51" s="824">
        <f t="shared" si="6"/>
        <v>7860577</v>
      </c>
      <c r="O51" s="824">
        <f t="shared" si="6"/>
        <v>44637476</v>
      </c>
    </row>
    <row r="52" spans="4:16" ht="4.5" customHeight="1" thickBot="1"/>
    <row r="53" spans="4:16" ht="25.5">
      <c r="D53" s="802" t="s">
        <v>1875</v>
      </c>
      <c r="E53" s="803" t="s">
        <v>1876</v>
      </c>
      <c r="F53" s="803" t="s">
        <v>1877</v>
      </c>
      <c r="G53" s="803" t="s">
        <v>1878</v>
      </c>
      <c r="H53" s="803" t="s">
        <v>1879</v>
      </c>
      <c r="I53" s="803" t="s">
        <v>1880</v>
      </c>
      <c r="J53" s="804" t="s">
        <v>1881</v>
      </c>
      <c r="K53" s="805" t="s">
        <v>1882</v>
      </c>
      <c r="L53" s="806" t="s">
        <v>1883</v>
      </c>
      <c r="N53" s="835"/>
    </row>
    <row r="54" spans="4:16" s="794" customFormat="1" ht="6.75" customHeight="1">
      <c r="D54" s="828">
        <v>0</v>
      </c>
      <c r="E54" s="829">
        <v>0</v>
      </c>
      <c r="F54" s="830">
        <f>D54*5.5%</f>
        <v>0</v>
      </c>
      <c r="G54" s="829">
        <f>D54-E54</f>
        <v>0</v>
      </c>
      <c r="H54" s="829">
        <f>G54*5.5%</f>
        <v>0</v>
      </c>
      <c r="I54" s="829">
        <v>0</v>
      </c>
      <c r="J54" s="831">
        <f>E54+I54</f>
        <v>0</v>
      </c>
      <c r="K54" s="832">
        <f>F54+H54</f>
        <v>0</v>
      </c>
      <c r="L54" s="828">
        <f>D54-J54</f>
        <v>0</v>
      </c>
      <c r="M54" s="794">
        <v>0</v>
      </c>
      <c r="N54" s="833">
        <f>ROUND(L54*0.11*77/366,0)</f>
        <v>0</v>
      </c>
      <c r="O54" s="794">
        <f>K54-M54+N54</f>
        <v>0</v>
      </c>
      <c r="P54" s="833"/>
    </row>
    <row r="55" spans="4:16" s="794" customFormat="1" ht="10.5" customHeight="1">
      <c r="D55" s="828">
        <v>0</v>
      </c>
      <c r="E55" s="829">
        <v>0</v>
      </c>
      <c r="F55" s="829">
        <f>D55*5.5%</f>
        <v>0</v>
      </c>
      <c r="G55" s="829">
        <f>D55-E55</f>
        <v>0</v>
      </c>
      <c r="H55" s="829">
        <f>G55*5.5%</f>
        <v>0</v>
      </c>
      <c r="I55" s="829">
        <v>0</v>
      </c>
      <c r="J55" s="831">
        <f>E55+I55</f>
        <v>0</v>
      </c>
      <c r="K55" s="834">
        <f>F55+H55</f>
        <v>0</v>
      </c>
      <c r="L55" s="828">
        <f>D55-J55</f>
        <v>0</v>
      </c>
      <c r="M55" s="794">
        <v>0</v>
      </c>
      <c r="N55" s="833">
        <f>ROUND(L55*0.11*77/366,0)</f>
        <v>0</v>
      </c>
      <c r="O55" s="794">
        <f>K55-M55+N55</f>
        <v>0</v>
      </c>
      <c r="P55" s="833"/>
    </row>
    <row r="56" spans="4:16">
      <c r="D56" s="815">
        <v>117000000</v>
      </c>
      <c r="E56" s="811">
        <v>117000000</v>
      </c>
      <c r="F56" s="811">
        <f>D56*5.5%</f>
        <v>6435000</v>
      </c>
      <c r="G56" s="811">
        <f>D56-E56</f>
        <v>0</v>
      </c>
      <c r="H56" s="811">
        <f>G56*5.5%</f>
        <v>0</v>
      </c>
      <c r="I56" s="811">
        <v>0</v>
      </c>
      <c r="J56" s="813">
        <f>E56+I56</f>
        <v>117000000</v>
      </c>
      <c r="K56" s="818">
        <f>F56+H56</f>
        <v>6435000</v>
      </c>
      <c r="L56" s="815">
        <f>D56-J56</f>
        <v>0</v>
      </c>
      <c r="M56" s="766">
        <v>2707623</v>
      </c>
      <c r="N56" s="767">
        <f>ROUND(L56*0.11*77/366,0)</f>
        <v>0</v>
      </c>
      <c r="O56" s="766">
        <f>K56-M56+N56</f>
        <v>3727377</v>
      </c>
    </row>
    <row r="57" spans="4:16">
      <c r="D57" s="815">
        <v>222666000</v>
      </c>
      <c r="E57" s="811">
        <v>111333000</v>
      </c>
      <c r="F57" s="811">
        <f>D57*5.5%</f>
        <v>12246630</v>
      </c>
      <c r="G57" s="811">
        <f>D57-E57</f>
        <v>111333000</v>
      </c>
      <c r="H57" s="811">
        <f>G57*5.5%</f>
        <v>6123315</v>
      </c>
      <c r="I57" s="811">
        <v>0</v>
      </c>
      <c r="J57" s="813">
        <f>E57+I57</f>
        <v>111333000</v>
      </c>
      <c r="K57" s="818">
        <f>F57+H57</f>
        <v>18369945</v>
      </c>
      <c r="L57" s="815">
        <f>D57-J57</f>
        <v>111333000</v>
      </c>
      <c r="M57" s="766">
        <v>5152954</v>
      </c>
      <c r="N57" s="767">
        <f>ROUND(L57*0.11*77/366,0)</f>
        <v>2576477</v>
      </c>
      <c r="O57" s="766">
        <f>K57-M57+N57</f>
        <v>15793468</v>
      </c>
    </row>
    <row r="58" spans="4:16" ht="13.5" thickBot="1">
      <c r="D58" s="819">
        <f>SUM(D54:D57)</f>
        <v>339666000</v>
      </c>
      <c r="E58" s="820">
        <f>SUM(E54:E57)</f>
        <v>228333000</v>
      </c>
      <c r="F58" s="821">
        <f>SUM(F54:F57)</f>
        <v>18681630</v>
      </c>
      <c r="G58" s="820">
        <f>D58-E58</f>
        <v>111333000</v>
      </c>
      <c r="H58" s="820">
        <f t="shared" ref="H58:O58" si="7">SUM(H54:H57)</f>
        <v>6123315</v>
      </c>
      <c r="I58" s="820">
        <f t="shared" si="7"/>
        <v>0</v>
      </c>
      <c r="J58" s="822">
        <f t="shared" si="7"/>
        <v>228333000</v>
      </c>
      <c r="K58" s="823">
        <f t="shared" si="7"/>
        <v>24804945</v>
      </c>
      <c r="L58" s="824">
        <f t="shared" si="7"/>
        <v>111333000</v>
      </c>
      <c r="M58" s="824">
        <f t="shared" si="7"/>
        <v>7860577</v>
      </c>
      <c r="N58" s="824">
        <f t="shared" si="7"/>
        <v>2576477</v>
      </c>
      <c r="O58" s="824">
        <f t="shared" si="7"/>
        <v>19520845</v>
      </c>
    </row>
    <row r="59" spans="4:16" ht="6" customHeight="1" thickBot="1"/>
    <row r="60" spans="4:16" ht="25.5">
      <c r="D60" s="802" t="s">
        <v>1883</v>
      </c>
      <c r="E60" s="803" t="s">
        <v>1884</v>
      </c>
      <c r="F60" s="803" t="s">
        <v>1885</v>
      </c>
      <c r="G60" s="803" t="s">
        <v>1886</v>
      </c>
      <c r="H60" s="803" t="s">
        <v>1887</v>
      </c>
      <c r="I60" s="803" t="s">
        <v>1888</v>
      </c>
      <c r="J60" s="804" t="s">
        <v>1889</v>
      </c>
      <c r="K60" s="805" t="s">
        <v>1890</v>
      </c>
      <c r="L60" s="806" t="s">
        <v>1891</v>
      </c>
    </row>
    <row r="61" spans="4:16" s="794" customFormat="1" ht="9.75" customHeight="1">
      <c r="D61" s="828">
        <v>0</v>
      </c>
      <c r="E61" s="829">
        <v>0</v>
      </c>
      <c r="F61" s="830">
        <f>D61*5.5%</f>
        <v>0</v>
      </c>
      <c r="G61" s="829">
        <f>D61-E61</f>
        <v>0</v>
      </c>
      <c r="H61" s="829">
        <f>G61*5.5%</f>
        <v>0</v>
      </c>
      <c r="I61" s="829">
        <v>0</v>
      </c>
      <c r="J61" s="831">
        <f>E61+I61</f>
        <v>0</v>
      </c>
      <c r="K61" s="832">
        <f>F61+H61</f>
        <v>0</v>
      </c>
      <c r="L61" s="828">
        <f>D61-J61</f>
        <v>0</v>
      </c>
      <c r="M61" s="794">
        <v>0</v>
      </c>
      <c r="N61" s="833">
        <f>ROUND(L61*0.11*77/366,0)</f>
        <v>0</v>
      </c>
      <c r="O61" s="794">
        <f>K61-M61+N61</f>
        <v>0</v>
      </c>
      <c r="P61" s="833"/>
    </row>
    <row r="62" spans="4:16" s="794" customFormat="1" ht="9.75" customHeight="1">
      <c r="D62" s="828">
        <v>0</v>
      </c>
      <c r="E62" s="829">
        <v>0</v>
      </c>
      <c r="F62" s="829">
        <f>D62*5.5%</f>
        <v>0</v>
      </c>
      <c r="G62" s="829">
        <f>D62-E62</f>
        <v>0</v>
      </c>
      <c r="H62" s="829">
        <f>G62*5.5%</f>
        <v>0</v>
      </c>
      <c r="I62" s="829">
        <v>0</v>
      </c>
      <c r="J62" s="831">
        <f>E62+I62</f>
        <v>0</v>
      </c>
      <c r="K62" s="834">
        <f>F62+H62</f>
        <v>0</v>
      </c>
      <c r="L62" s="828">
        <f>D62-J62</f>
        <v>0</v>
      </c>
      <c r="M62" s="794">
        <v>0</v>
      </c>
      <c r="N62" s="833">
        <f>ROUND(L62*0.11*77/366,0)</f>
        <v>0</v>
      </c>
      <c r="O62" s="794">
        <f>K62-M62+N62</f>
        <v>0</v>
      </c>
      <c r="P62" s="833"/>
    </row>
    <row r="63" spans="4:16" s="794" customFormat="1" ht="9.75" customHeight="1">
      <c r="D63" s="828">
        <v>0</v>
      </c>
      <c r="E63" s="829">
        <v>0</v>
      </c>
      <c r="F63" s="829">
        <f>D63*5.5%</f>
        <v>0</v>
      </c>
      <c r="G63" s="829">
        <f>D63-E63</f>
        <v>0</v>
      </c>
      <c r="H63" s="829">
        <f>G63*5.5%</f>
        <v>0</v>
      </c>
      <c r="I63" s="829">
        <v>0</v>
      </c>
      <c r="J63" s="831">
        <f>E63+I63</f>
        <v>0</v>
      </c>
      <c r="K63" s="834">
        <f>F63+H63</f>
        <v>0</v>
      </c>
      <c r="L63" s="828">
        <f>D63-J63</f>
        <v>0</v>
      </c>
      <c r="M63" s="794">
        <v>0</v>
      </c>
      <c r="N63" s="833">
        <f>ROUND(L63*0.11*77/366,0)</f>
        <v>0</v>
      </c>
      <c r="O63" s="794">
        <f>K63-M63+N63</f>
        <v>0</v>
      </c>
      <c r="P63" s="833"/>
    </row>
    <row r="64" spans="4:16">
      <c r="D64" s="815">
        <v>111333000</v>
      </c>
      <c r="E64" s="811">
        <v>111333000</v>
      </c>
      <c r="F64" s="811">
        <f>D64*5.5%</f>
        <v>6123315</v>
      </c>
      <c r="G64" s="811">
        <f>D64-E64</f>
        <v>0</v>
      </c>
      <c r="H64" s="811">
        <f>G64*5.5%</f>
        <v>0</v>
      </c>
      <c r="I64" s="811">
        <v>0</v>
      </c>
      <c r="J64" s="813">
        <f>E64+I64</f>
        <v>111333000</v>
      </c>
      <c r="K64" s="818">
        <f>F64+H64</f>
        <v>6123315</v>
      </c>
      <c r="L64" s="815">
        <f>D64-J64</f>
        <v>0</v>
      </c>
      <c r="M64" s="766">
        <v>2576477</v>
      </c>
      <c r="N64" s="767">
        <f>ROUND(L64*0.11*77/366,0)</f>
        <v>0</v>
      </c>
      <c r="O64" s="766">
        <f>K64-M64+N64</f>
        <v>3546838</v>
      </c>
    </row>
    <row r="65" spans="4:15" ht="13.5" thickBot="1">
      <c r="D65" s="819">
        <f>SUM(D61:D64)</f>
        <v>111333000</v>
      </c>
      <c r="E65" s="820">
        <f>SUM(E61:E64)</f>
        <v>111333000</v>
      </c>
      <c r="F65" s="821">
        <f>SUM(F61:F64)</f>
        <v>6123315</v>
      </c>
      <c r="G65" s="820">
        <f>D65-E65</f>
        <v>0</v>
      </c>
      <c r="H65" s="820">
        <f t="shared" ref="H65:O65" si="8">SUM(H61:H64)</f>
        <v>0</v>
      </c>
      <c r="I65" s="820">
        <f t="shared" si="8"/>
        <v>0</v>
      </c>
      <c r="J65" s="822">
        <f t="shared" si="8"/>
        <v>111333000</v>
      </c>
      <c r="K65" s="823">
        <f t="shared" si="8"/>
        <v>6123315</v>
      </c>
      <c r="L65" s="824">
        <f t="shared" si="8"/>
        <v>0</v>
      </c>
      <c r="M65" s="824">
        <f t="shared" si="8"/>
        <v>2576477</v>
      </c>
      <c r="N65" s="824">
        <f t="shared" si="8"/>
        <v>0</v>
      </c>
      <c r="O65" s="824">
        <f t="shared" si="8"/>
        <v>3546838</v>
      </c>
    </row>
    <row r="66" spans="4:15">
      <c r="I66" s="809" t="s">
        <v>1892</v>
      </c>
      <c r="J66" s="836">
        <f>J9+J16+J23+J30+J37+J44+J51+J58+J65</f>
        <v>3022997003</v>
      </c>
    </row>
  </sheetData>
  <printOptions gridLines="1"/>
  <pageMargins left="0" right="0" top="0.24803149599999999" bottom="0.24803149599999999" header="0.31496062992126" footer="0.31496062992126"/>
  <pageSetup paperSize="9" scale="7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AA114"/>
  <sheetViews>
    <sheetView topLeftCell="G14" workbookViewId="0">
      <selection activeCell="P37" sqref="P37"/>
    </sheetView>
  </sheetViews>
  <sheetFormatPr defaultRowHeight="12.75"/>
  <cols>
    <col min="1" max="7" width="9.28515625" style="837" customWidth="1"/>
    <col min="8" max="8" width="7.28515625" style="837" customWidth="1"/>
    <col min="9" max="9" width="10.7109375" style="837" customWidth="1"/>
    <col min="10" max="10" width="11" style="837" customWidth="1"/>
    <col min="11" max="11" width="9.140625" style="837" customWidth="1"/>
    <col min="12" max="13" width="10.140625" style="837" customWidth="1"/>
    <col min="14" max="14" width="9.28515625" style="837" customWidth="1"/>
    <col min="15" max="15" width="10.5703125" style="837" customWidth="1"/>
    <col min="16" max="16" width="10.7109375" style="837" customWidth="1"/>
    <col min="17" max="17" width="8.7109375" style="837" customWidth="1"/>
    <col min="18" max="18" width="12.28515625" style="837" customWidth="1"/>
    <col min="19" max="19" width="14.28515625" style="876" customWidth="1"/>
    <col min="20" max="20" width="10.85546875" style="837" customWidth="1"/>
    <col min="21" max="21" width="17.28515625" style="840" customWidth="1"/>
    <col min="22" max="22" width="13.140625" style="837" customWidth="1"/>
    <col min="23" max="23" width="17" style="837" customWidth="1"/>
    <col min="24" max="24" width="16.42578125" style="837" customWidth="1"/>
    <col min="25" max="25" width="9.140625" style="837"/>
    <col min="26" max="26" width="15.28515625" style="837" customWidth="1"/>
    <col min="27" max="27" width="12.7109375" style="837" customWidth="1"/>
    <col min="28" max="16384" width="9.140625" style="837"/>
  </cols>
  <sheetData>
    <row r="1" spans="2:27">
      <c r="H1" s="838" t="s">
        <v>1893</v>
      </c>
      <c r="I1" s="838"/>
      <c r="J1" s="838"/>
      <c r="K1" s="838"/>
      <c r="L1" s="838" t="s">
        <v>1894</v>
      </c>
      <c r="M1" s="838"/>
      <c r="N1" s="838"/>
      <c r="O1" s="838"/>
      <c r="P1" s="838"/>
      <c r="Q1" s="838"/>
      <c r="R1" s="838"/>
      <c r="S1" s="839"/>
      <c r="T1" s="838"/>
      <c r="W1" s="837" t="s">
        <v>1895</v>
      </c>
    </row>
    <row r="2" spans="2:27">
      <c r="B2" s="841"/>
      <c r="C2" s="841">
        <v>1</v>
      </c>
      <c r="D2" s="841">
        <v>2</v>
      </c>
      <c r="E2" s="841">
        <v>3</v>
      </c>
      <c r="F2" s="842" t="s">
        <v>287</v>
      </c>
      <c r="H2" s="838"/>
      <c r="I2" s="843" t="s">
        <v>1278</v>
      </c>
      <c r="J2" s="839">
        <v>1</v>
      </c>
      <c r="K2" s="844" t="s">
        <v>1895</v>
      </c>
      <c r="L2" s="843" t="s">
        <v>1278</v>
      </c>
      <c r="M2" s="839">
        <v>2</v>
      </c>
      <c r="N2" s="844" t="s">
        <v>1895</v>
      </c>
      <c r="O2" s="843" t="s">
        <v>1278</v>
      </c>
      <c r="P2" s="844">
        <v>3</v>
      </c>
      <c r="Q2" s="844" t="s">
        <v>1895</v>
      </c>
      <c r="R2" s="845" t="s">
        <v>1896</v>
      </c>
      <c r="S2" s="844" t="s">
        <v>1897</v>
      </c>
      <c r="T2" s="845" t="s">
        <v>287</v>
      </c>
      <c r="V2" s="841">
        <v>1</v>
      </c>
      <c r="W2" s="841">
        <v>2</v>
      </c>
      <c r="X2" s="841">
        <v>3</v>
      </c>
      <c r="Y2" s="842" t="s">
        <v>287</v>
      </c>
      <c r="Z2" s="846"/>
      <c r="AA2" s="837">
        <v>10000000</v>
      </c>
    </row>
    <row r="3" spans="2:27">
      <c r="B3" s="841"/>
      <c r="C3" s="841">
        <v>114.29</v>
      </c>
      <c r="D3" s="841">
        <v>100</v>
      </c>
      <c r="E3" s="841">
        <v>100</v>
      </c>
      <c r="F3" s="841">
        <f>SUM(C3:E3)</f>
        <v>314.29000000000002</v>
      </c>
      <c r="H3" s="843" t="s">
        <v>1898</v>
      </c>
      <c r="I3" s="847"/>
      <c r="J3" s="848">
        <v>857142856</v>
      </c>
      <c r="K3" s="849" t="s">
        <v>1899</v>
      </c>
      <c r="L3" s="838"/>
      <c r="M3" s="838">
        <v>856800000</v>
      </c>
      <c r="N3" s="850">
        <v>9.7500000000000003E-2</v>
      </c>
      <c r="O3" s="838"/>
      <c r="P3" s="838">
        <v>976200000</v>
      </c>
      <c r="Q3" s="851">
        <v>0.105</v>
      </c>
      <c r="R3" s="852" t="s">
        <v>1894</v>
      </c>
      <c r="S3" s="839">
        <f t="shared" ref="S3:T16" si="0">J3+M3+P3</f>
        <v>2690142856</v>
      </c>
      <c r="T3" s="853" t="s">
        <v>1895</v>
      </c>
      <c r="V3" s="841"/>
      <c r="W3" s="841">
        <v>85.68</v>
      </c>
      <c r="X3" s="841">
        <v>97.62</v>
      </c>
      <c r="Y3" s="841">
        <f>SUM(V3:X3)</f>
        <v>183.3</v>
      </c>
      <c r="Z3" s="837">
        <v>2</v>
      </c>
      <c r="AA3" s="837">
        <v>3</v>
      </c>
    </row>
    <row r="4" spans="2:27">
      <c r="B4" s="841" t="s">
        <v>1900</v>
      </c>
      <c r="C4" s="841"/>
      <c r="D4" s="841">
        <v>3.58</v>
      </c>
      <c r="E4" s="841"/>
      <c r="F4" s="841">
        <f t="shared" ref="F4:F17" si="1">SUM(C4:E4)</f>
        <v>3.58</v>
      </c>
      <c r="G4" s="837">
        <f>F3-F4</f>
        <v>310.71000000000004</v>
      </c>
      <c r="H4" s="854">
        <v>40644</v>
      </c>
      <c r="I4" s="847"/>
      <c r="J4" s="847">
        <v>857142856</v>
      </c>
      <c r="K4" s="855">
        <f>ROUND(J3*0.11/365*30,0)</f>
        <v>7749511</v>
      </c>
      <c r="L4" s="838">
        <v>35800000</v>
      </c>
      <c r="M4" s="847">
        <f t="shared" ref="M4:M15" si="2">M3-L4</f>
        <v>821000000</v>
      </c>
      <c r="N4" s="843">
        <f>ROUND((M3*0.0975/365*11)+(M4*0.0975/365*19),0)</f>
        <v>6684440</v>
      </c>
      <c r="O4" s="838">
        <v>11900000</v>
      </c>
      <c r="P4" s="847">
        <f t="shared" ref="P4:P15" si="3">P3-O4</f>
        <v>964300000</v>
      </c>
      <c r="Q4" s="847">
        <f>ROUND((P3*0.105/365*6)+(P4*0.105/365*24),0)</f>
        <v>8342581</v>
      </c>
      <c r="R4" s="856">
        <f t="shared" ref="R4:R15" si="4">I4+L4+O4</f>
        <v>47700000</v>
      </c>
      <c r="S4" s="839">
        <f t="shared" si="0"/>
        <v>2642442856</v>
      </c>
      <c r="T4" s="857">
        <f>K4+N4+Q4</f>
        <v>22776532</v>
      </c>
      <c r="U4" s="858" t="s">
        <v>1901</v>
      </c>
      <c r="V4" s="859">
        <f>J4*0.11/365*30</f>
        <v>7749510.752876712</v>
      </c>
      <c r="W4" s="860">
        <f>(L3*0.0975/365*12)+(L3-L4)*0.0975/365*18</f>
        <v>-172134.24657534246</v>
      </c>
      <c r="X4" s="860">
        <f>(P3*0.105/365*6)+(P4*0.105/365*24)</f>
        <v>8342580.8219178077</v>
      </c>
      <c r="Z4" s="837">
        <f>W4*$AA$2</f>
        <v>-1721342465753.4246</v>
      </c>
      <c r="AA4" s="837">
        <f>X4*$AA$2</f>
        <v>83425808219178.078</v>
      </c>
    </row>
    <row r="5" spans="2:27">
      <c r="B5" s="841" t="s">
        <v>1902</v>
      </c>
      <c r="C5" s="841"/>
      <c r="D5" s="841"/>
      <c r="E5" s="841"/>
      <c r="F5" s="841">
        <f t="shared" si="1"/>
        <v>0</v>
      </c>
      <c r="H5" s="854">
        <v>40674</v>
      </c>
      <c r="I5" s="847"/>
      <c r="J5" s="847">
        <v>857142856</v>
      </c>
      <c r="K5" s="861">
        <f>ROUND((J4*0.11/365*4)+(J5*0.115/365*27),0)</f>
        <v>8324853</v>
      </c>
      <c r="L5" s="838"/>
      <c r="M5" s="847">
        <f t="shared" si="2"/>
        <v>821000000</v>
      </c>
      <c r="N5" s="843">
        <f>ROUND((M4*0.0975/365*31),0)</f>
        <v>6798555</v>
      </c>
      <c r="O5" s="838">
        <v>11900000</v>
      </c>
      <c r="P5" s="847">
        <f t="shared" si="3"/>
        <v>952400000</v>
      </c>
      <c r="Q5" s="847">
        <f>ROUND((P4*0.105/365*6)+(P5*0.105/365*25),0)</f>
        <v>8513860</v>
      </c>
      <c r="R5" s="856">
        <f t="shared" si="4"/>
        <v>11900000</v>
      </c>
      <c r="S5" s="839">
        <f t="shared" si="0"/>
        <v>2630542856</v>
      </c>
      <c r="T5" s="857">
        <f t="shared" si="0"/>
        <v>23637268</v>
      </c>
      <c r="U5" s="858" t="s">
        <v>1903</v>
      </c>
      <c r="V5" s="862">
        <f>J5*0.11/365*31</f>
        <v>8007827.7779726023</v>
      </c>
      <c r="W5" s="860">
        <f>M5*0.0975/365*31</f>
        <v>6798554.7945205476</v>
      </c>
      <c r="X5" s="860">
        <f>(P4*0.105/365*6)+(P5*0.105/365*25)</f>
        <v>8513860.2739726026</v>
      </c>
      <c r="Z5" s="837">
        <f t="shared" ref="Z5:AA16" si="5">W5*$AA$2</f>
        <v>67985547945205.477</v>
      </c>
      <c r="AA5" s="837">
        <f t="shared" si="5"/>
        <v>85138602739726.031</v>
      </c>
    </row>
    <row r="6" spans="2:27" s="864" customFormat="1">
      <c r="B6" s="863" t="s">
        <v>1904</v>
      </c>
      <c r="C6" s="863"/>
      <c r="D6" s="863"/>
      <c r="E6" s="863"/>
      <c r="F6" s="863">
        <f t="shared" si="1"/>
        <v>0</v>
      </c>
      <c r="H6" s="854">
        <v>40705</v>
      </c>
      <c r="I6" s="865"/>
      <c r="J6" s="847">
        <v>857142856</v>
      </c>
      <c r="K6" s="861">
        <f>ROUND(J5*0.115/365*30,0)</f>
        <v>8101761</v>
      </c>
      <c r="L6" s="866"/>
      <c r="M6" s="847">
        <f t="shared" si="2"/>
        <v>821000000</v>
      </c>
      <c r="N6" s="843">
        <f>ROUND((M5*0.0975/365*30),0)</f>
        <v>6579247</v>
      </c>
      <c r="O6" s="838">
        <v>11900000</v>
      </c>
      <c r="P6" s="847">
        <f t="shared" si="3"/>
        <v>940500000</v>
      </c>
      <c r="Q6" s="847">
        <f t="shared" ref="Q6:Q11" si="6">ROUND((P5*0.105/365*6)+(P6*0.105/365*24),0)</f>
        <v>8137184</v>
      </c>
      <c r="R6" s="856">
        <f t="shared" si="4"/>
        <v>11900000</v>
      </c>
      <c r="S6" s="839">
        <f t="shared" si="0"/>
        <v>2618642856</v>
      </c>
      <c r="T6" s="857">
        <f t="shared" si="0"/>
        <v>22818192</v>
      </c>
      <c r="U6" s="867" t="s">
        <v>1905</v>
      </c>
      <c r="V6" s="862">
        <f>J6*0.11/365*30</f>
        <v>7749510.752876712</v>
      </c>
      <c r="W6" s="860">
        <f>M6*0.0975/365*30</f>
        <v>6579246.5753424652</v>
      </c>
      <c r="X6" s="860">
        <f t="shared" ref="X6:X11" si="7">(P5*0.105/365*6)+(P6*0.105/365*24)</f>
        <v>8137183.5616438361</v>
      </c>
      <c r="Z6" s="837">
        <f t="shared" si="5"/>
        <v>65792465753424.648</v>
      </c>
      <c r="AA6" s="837">
        <f t="shared" si="5"/>
        <v>81371835616438.359</v>
      </c>
    </row>
    <row r="7" spans="2:27" s="868" customFormat="1">
      <c r="B7" s="860" t="s">
        <v>1906</v>
      </c>
      <c r="C7" s="860"/>
      <c r="D7" s="860">
        <v>3.58</v>
      </c>
      <c r="E7" s="860"/>
      <c r="F7" s="860">
        <f t="shared" si="1"/>
        <v>3.58</v>
      </c>
      <c r="H7" s="854">
        <v>40735</v>
      </c>
      <c r="I7" s="847"/>
      <c r="J7" s="847">
        <v>857142856</v>
      </c>
      <c r="K7" s="861">
        <f>ROUND((J6*0.115/365*24)+(J7*0.1225/365*7),0)</f>
        <v>8495108</v>
      </c>
      <c r="L7" s="838">
        <v>35800000</v>
      </c>
      <c r="M7" s="847">
        <f t="shared" si="2"/>
        <v>785200000</v>
      </c>
      <c r="N7" s="843">
        <f>ROUND((M6*0.0975/365*11)+(M7*0.0975/365*20),0)</f>
        <v>6607295</v>
      </c>
      <c r="O7" s="860">
        <v>11900000</v>
      </c>
      <c r="P7" s="847">
        <f t="shared" si="3"/>
        <v>928600000</v>
      </c>
      <c r="Q7" s="847">
        <f>ROUND((P6*0.105/365*6)+(P7*0.105/365*25),0)</f>
        <v>8301616</v>
      </c>
      <c r="R7" s="856">
        <f t="shared" si="4"/>
        <v>47700000</v>
      </c>
      <c r="S7" s="839">
        <f t="shared" si="0"/>
        <v>2570942856</v>
      </c>
      <c r="T7" s="857">
        <f t="shared" si="0"/>
        <v>23404019</v>
      </c>
      <c r="U7" s="869" t="s">
        <v>1907</v>
      </c>
      <c r="V7" s="862">
        <f>J7*0.11/365*31</f>
        <v>8007827.7779726023</v>
      </c>
      <c r="W7" s="860">
        <f>(M4*0.0975/365*12)+(M7)*0.0975/365*19</f>
        <v>6616857.5342465751</v>
      </c>
      <c r="X7" s="860">
        <f>(P6*0.105/365*6)+(P7*0.105/365*25)</f>
        <v>8301616.4383561648</v>
      </c>
      <c r="Z7" s="837">
        <f t="shared" si="5"/>
        <v>66168575342465.75</v>
      </c>
      <c r="AA7" s="837">
        <f t="shared" si="5"/>
        <v>83016164383561.641</v>
      </c>
    </row>
    <row r="8" spans="2:27" s="868" customFormat="1">
      <c r="B8" s="860" t="s">
        <v>1908</v>
      </c>
      <c r="C8" s="860"/>
      <c r="D8" s="860"/>
      <c r="E8" s="860"/>
      <c r="F8" s="860">
        <f t="shared" si="1"/>
        <v>0</v>
      </c>
      <c r="H8" s="854">
        <v>40766</v>
      </c>
      <c r="I8" s="847"/>
      <c r="J8" s="847">
        <v>857142856</v>
      </c>
      <c r="K8" s="861">
        <f>ROUND(J7*0.1225/365*31,0)</f>
        <v>8917808</v>
      </c>
      <c r="L8" s="843"/>
      <c r="M8" s="847">
        <f t="shared" si="2"/>
        <v>785200000</v>
      </c>
      <c r="N8" s="843">
        <f>ROUND((M7*0.0975/365*31),0)</f>
        <v>6502101</v>
      </c>
      <c r="O8" s="838">
        <v>11900000</v>
      </c>
      <c r="P8" s="847">
        <f t="shared" si="3"/>
        <v>916700000</v>
      </c>
      <c r="Q8" s="847">
        <f>ROUND((P7*0.105/365*6)+(P8*0.105/365*25),0)</f>
        <v>8195495</v>
      </c>
      <c r="R8" s="856">
        <f t="shared" si="4"/>
        <v>11900000</v>
      </c>
      <c r="S8" s="839">
        <f t="shared" si="0"/>
        <v>2559042856</v>
      </c>
      <c r="T8" s="857">
        <f t="shared" si="0"/>
        <v>23615404</v>
      </c>
      <c r="U8" s="869" t="s">
        <v>1909</v>
      </c>
      <c r="V8" s="862">
        <f>J8*0.11/365*31</f>
        <v>8007827.7779726023</v>
      </c>
      <c r="W8" s="860">
        <f>M8*0.0975/365*31</f>
        <v>6502101.3698630137</v>
      </c>
      <c r="X8" s="860">
        <f>(P7*0.105/365*6)+(P8*0.105/365*25)</f>
        <v>8195494.5205479451</v>
      </c>
      <c r="Z8" s="837">
        <f t="shared" si="5"/>
        <v>65021013698630.141</v>
      </c>
      <c r="AA8" s="837">
        <f t="shared" si="5"/>
        <v>81954945205479.453</v>
      </c>
    </row>
    <row r="9" spans="2:27" s="864" customFormat="1">
      <c r="B9" s="863" t="s">
        <v>1910</v>
      </c>
      <c r="C9" s="863"/>
      <c r="D9" s="863"/>
      <c r="E9" s="863"/>
      <c r="F9" s="863">
        <f t="shared" si="1"/>
        <v>0</v>
      </c>
      <c r="H9" s="854">
        <v>40797</v>
      </c>
      <c r="I9" s="865"/>
      <c r="J9" s="847">
        <v>857142856</v>
      </c>
      <c r="K9" s="861">
        <f>ROUND(J8*0.1225/365*30,0)</f>
        <v>8630137</v>
      </c>
      <c r="L9" s="866"/>
      <c r="M9" s="847">
        <f t="shared" si="2"/>
        <v>785200000</v>
      </c>
      <c r="N9" s="843">
        <f>ROUND((M8*0.0975/365*30),0)</f>
        <v>6292356</v>
      </c>
      <c r="O9" s="838">
        <v>11900000</v>
      </c>
      <c r="P9" s="847">
        <f t="shared" si="3"/>
        <v>904800000</v>
      </c>
      <c r="Q9" s="847">
        <f t="shared" si="6"/>
        <v>7829088</v>
      </c>
      <c r="R9" s="856">
        <f t="shared" si="4"/>
        <v>11900000</v>
      </c>
      <c r="S9" s="839">
        <f t="shared" si="0"/>
        <v>2547142856</v>
      </c>
      <c r="T9" s="857">
        <f t="shared" si="0"/>
        <v>22751581</v>
      </c>
      <c r="U9" s="867" t="s">
        <v>1911</v>
      </c>
      <c r="V9" s="870">
        <f>J9*0.11/365*30</f>
        <v>7749510.752876712</v>
      </c>
      <c r="W9" s="860">
        <f>M9*0.0975/365*30</f>
        <v>6292356.1643835623</v>
      </c>
      <c r="X9" s="860">
        <f t="shared" si="7"/>
        <v>7829087.6712328754</v>
      </c>
      <c r="Z9" s="837">
        <f t="shared" si="5"/>
        <v>62923561643835.625</v>
      </c>
      <c r="AA9" s="837">
        <f t="shared" si="5"/>
        <v>78290876712328.75</v>
      </c>
    </row>
    <row r="10" spans="2:27" s="868" customFormat="1">
      <c r="B10" s="860" t="s">
        <v>1912</v>
      </c>
      <c r="C10" s="860"/>
      <c r="D10" s="860">
        <v>3.58</v>
      </c>
      <c r="E10" s="860"/>
      <c r="F10" s="860">
        <f t="shared" si="1"/>
        <v>3.58</v>
      </c>
      <c r="H10" s="854">
        <v>40827</v>
      </c>
      <c r="I10" s="847"/>
      <c r="J10" s="847">
        <v>857142856</v>
      </c>
      <c r="K10" s="861">
        <f>ROUND(J9*0.1225/365*31,0)</f>
        <v>8917808</v>
      </c>
      <c r="L10" s="838">
        <v>35800000</v>
      </c>
      <c r="M10" s="847">
        <f t="shared" si="2"/>
        <v>749400000</v>
      </c>
      <c r="N10" s="843">
        <f>ROUND((M9*0.0975/365*11)+(M10*0.0975/365*20),0)</f>
        <v>6310841</v>
      </c>
      <c r="O10" s="838">
        <v>11900000</v>
      </c>
      <c r="P10" s="847">
        <f t="shared" si="3"/>
        <v>892900000</v>
      </c>
      <c r="Q10" s="847">
        <f>ROUND((P9*0.105/365*6)+(P10*0.105/365*25),0)</f>
        <v>7983251</v>
      </c>
      <c r="R10" s="856">
        <f t="shared" si="4"/>
        <v>47700000</v>
      </c>
      <c r="S10" s="839">
        <f t="shared" si="0"/>
        <v>2499442856</v>
      </c>
      <c r="T10" s="857">
        <f t="shared" si="0"/>
        <v>23211900</v>
      </c>
      <c r="U10" s="869" t="s">
        <v>1913</v>
      </c>
      <c r="V10" s="871">
        <f>J10*0.11/365*31</f>
        <v>8007827.7779726023</v>
      </c>
      <c r="W10" s="860">
        <f>(M7*0.0975/365*12)+(M10)*0.0975/365*19</f>
        <v>6320404.1095890412</v>
      </c>
      <c r="X10" s="860">
        <f>(P9*0.105/365*6)+(P10*0.105/365*25)</f>
        <v>7983250.6849315073</v>
      </c>
      <c r="Z10" s="837">
        <f t="shared" si="5"/>
        <v>63204041095890.414</v>
      </c>
      <c r="AA10" s="837">
        <f t="shared" si="5"/>
        <v>79832506849315.078</v>
      </c>
    </row>
    <row r="11" spans="2:27" s="864" customFormat="1">
      <c r="B11" s="863" t="s">
        <v>1914</v>
      </c>
      <c r="C11" s="863"/>
      <c r="D11" s="863"/>
      <c r="E11" s="863"/>
      <c r="F11" s="863">
        <f t="shared" si="1"/>
        <v>0</v>
      </c>
      <c r="H11" s="854">
        <v>40858</v>
      </c>
      <c r="I11" s="865"/>
      <c r="J11" s="847">
        <v>857142856</v>
      </c>
      <c r="K11" s="861">
        <f>ROUND(J10*0.1225/365*30,0)</f>
        <v>8630137</v>
      </c>
      <c r="L11" s="866"/>
      <c r="M11" s="847">
        <f t="shared" si="2"/>
        <v>749400000</v>
      </c>
      <c r="N11" s="843">
        <f>ROUND((M10*0.0975/365*30),0)</f>
        <v>6005466</v>
      </c>
      <c r="O11" s="838">
        <v>11900000</v>
      </c>
      <c r="P11" s="847">
        <f t="shared" si="3"/>
        <v>881000000</v>
      </c>
      <c r="Q11" s="847">
        <f t="shared" si="6"/>
        <v>7623690</v>
      </c>
      <c r="R11" s="856">
        <f t="shared" si="4"/>
        <v>11900000</v>
      </c>
      <c r="S11" s="839">
        <f t="shared" si="0"/>
        <v>2487542856</v>
      </c>
      <c r="T11" s="857">
        <f t="shared" si="0"/>
        <v>22259293</v>
      </c>
      <c r="U11" s="867" t="s">
        <v>1915</v>
      </c>
      <c r="V11" s="870">
        <f>J11*0.11/365*30</f>
        <v>7749510.752876712</v>
      </c>
      <c r="W11" s="860">
        <f>M11*0.0975/365*30</f>
        <v>6005465.7534246575</v>
      </c>
      <c r="X11" s="860">
        <f t="shared" si="7"/>
        <v>7623690.4109589038</v>
      </c>
      <c r="Z11" s="837">
        <f t="shared" si="5"/>
        <v>60054657534246.578</v>
      </c>
      <c r="AA11" s="837">
        <f t="shared" si="5"/>
        <v>76236904109589.031</v>
      </c>
    </row>
    <row r="12" spans="2:27" s="868" customFormat="1">
      <c r="B12" s="860" t="s">
        <v>1916</v>
      </c>
      <c r="C12" s="860"/>
      <c r="D12" s="860"/>
      <c r="E12" s="860"/>
      <c r="F12" s="860">
        <f t="shared" si="1"/>
        <v>0</v>
      </c>
      <c r="H12" s="854">
        <v>40888</v>
      </c>
      <c r="I12" s="847"/>
      <c r="J12" s="847">
        <v>857142856</v>
      </c>
      <c r="K12" s="861">
        <f>ROUND(J11*0.1225/365*31,0)</f>
        <v>8917808</v>
      </c>
      <c r="L12" s="843"/>
      <c r="M12" s="847">
        <f t="shared" si="2"/>
        <v>749400000</v>
      </c>
      <c r="N12" s="843">
        <f>ROUND((M11*0.0975/365*31),0)</f>
        <v>6205648</v>
      </c>
      <c r="O12" s="838">
        <v>11900000</v>
      </c>
      <c r="P12" s="847">
        <f t="shared" si="3"/>
        <v>869100000</v>
      </c>
      <c r="Q12" s="847">
        <f>ROUND((P11*0.105/365*6)+(P12*0.105/365*25),0)</f>
        <v>7771007</v>
      </c>
      <c r="R12" s="856">
        <f t="shared" si="4"/>
        <v>11900000</v>
      </c>
      <c r="S12" s="839">
        <f t="shared" si="0"/>
        <v>2475642856</v>
      </c>
      <c r="T12" s="857">
        <f t="shared" si="0"/>
        <v>22894463</v>
      </c>
      <c r="U12" s="869" t="s">
        <v>1917</v>
      </c>
      <c r="V12" s="871">
        <f>J12*0.11/365*31</f>
        <v>8007827.7779726023</v>
      </c>
      <c r="W12" s="860">
        <f>M12*0.0975/365*31</f>
        <v>6205647.9452054789</v>
      </c>
      <c r="X12" s="860">
        <f>(P11*0.105/365*6)+(P12*0.105/365*25)</f>
        <v>7771006.8493150687</v>
      </c>
      <c r="Z12" s="837">
        <f t="shared" si="5"/>
        <v>62056479452054.789</v>
      </c>
      <c r="AA12" s="837">
        <f t="shared" si="5"/>
        <v>77710068493150.687</v>
      </c>
    </row>
    <row r="13" spans="2:27" s="868" customFormat="1">
      <c r="B13" s="860" t="s">
        <v>1918</v>
      </c>
      <c r="C13" s="860"/>
      <c r="D13" s="860">
        <v>3.58</v>
      </c>
      <c r="E13" s="860"/>
      <c r="F13" s="860">
        <f t="shared" si="1"/>
        <v>3.58</v>
      </c>
      <c r="H13" s="854">
        <v>40555</v>
      </c>
      <c r="I13" s="847"/>
      <c r="J13" s="847">
        <v>857142856</v>
      </c>
      <c r="K13" s="861">
        <f>ROUND(J12*0.1225/365*31,0)</f>
        <v>8917808</v>
      </c>
      <c r="L13" s="838">
        <v>35800000</v>
      </c>
      <c r="M13" s="847">
        <f t="shared" si="2"/>
        <v>713600000</v>
      </c>
      <c r="N13" s="843">
        <f>ROUND((M12*0.0975/365*12)+(M13*0.0975/365*19),0)</f>
        <v>6023951</v>
      </c>
      <c r="O13" s="838">
        <v>11900000</v>
      </c>
      <c r="P13" s="847">
        <f t="shared" si="3"/>
        <v>857200000</v>
      </c>
      <c r="Q13" s="847">
        <f>ROUND((P12*0.105/366*6)+(P13*0.105/366*25),0)</f>
        <v>7643943</v>
      </c>
      <c r="R13" s="856">
        <f t="shared" si="4"/>
        <v>47700000</v>
      </c>
      <c r="S13" s="839">
        <f t="shared" si="0"/>
        <v>2427942856</v>
      </c>
      <c r="T13" s="857">
        <f t="shared" si="0"/>
        <v>22585702</v>
      </c>
      <c r="U13" s="869" t="s">
        <v>1919</v>
      </c>
      <c r="V13" s="871">
        <f>J13*0.11/365*31</f>
        <v>8007827.7779726023</v>
      </c>
      <c r="W13" s="860">
        <f>(M10*0.0975/365*12)+(M13)*0.0975/365*19</f>
        <v>6023950.6849315073</v>
      </c>
      <c r="X13" s="860">
        <f>(P12*0.105/365*6)+(P13*0.105/365*25)</f>
        <v>7664884.9315068498</v>
      </c>
      <c r="Z13" s="837">
        <f t="shared" si="5"/>
        <v>60239506849315.07</v>
      </c>
      <c r="AA13" s="837">
        <f t="shared" si="5"/>
        <v>76648849315068.5</v>
      </c>
    </row>
    <row r="14" spans="2:27" s="864" customFormat="1">
      <c r="B14" s="863" t="s">
        <v>1920</v>
      </c>
      <c r="C14" s="863">
        <v>28.57</v>
      </c>
      <c r="D14" s="863"/>
      <c r="E14" s="863">
        <v>1.19</v>
      </c>
      <c r="F14" s="863">
        <f t="shared" si="1"/>
        <v>29.76</v>
      </c>
      <c r="H14" s="854">
        <v>40586</v>
      </c>
      <c r="I14" s="865">
        <v>285714286</v>
      </c>
      <c r="J14" s="865">
        <f>J13-I14</f>
        <v>571428570</v>
      </c>
      <c r="K14" s="861">
        <f>ROUND((J13*0.1225/365*14)+(J14*0.1225/365*15),0)</f>
        <v>6904110</v>
      </c>
      <c r="L14" s="866"/>
      <c r="M14" s="847">
        <f t="shared" si="2"/>
        <v>713600000</v>
      </c>
      <c r="N14" s="843">
        <f>ROUND((M13*0.0975/366*29),0)</f>
        <v>5512852</v>
      </c>
      <c r="O14" s="838">
        <v>11900000</v>
      </c>
      <c r="P14" s="847">
        <f t="shared" si="3"/>
        <v>845300000</v>
      </c>
      <c r="Q14" s="847">
        <f>ROUND((P13*0.105/366*6)+(P14*0.105/366*23),0)</f>
        <v>7053102</v>
      </c>
      <c r="R14" s="856">
        <f t="shared" si="4"/>
        <v>297614286</v>
      </c>
      <c r="S14" s="839">
        <f t="shared" si="0"/>
        <v>2130328570</v>
      </c>
      <c r="T14" s="857">
        <f t="shared" si="0"/>
        <v>19470064</v>
      </c>
      <c r="U14" s="867" t="s">
        <v>1921</v>
      </c>
      <c r="V14" s="870">
        <f>(J13*0.11/365*14)+(J14*0.11/365*15)</f>
        <v>6199608.599287672</v>
      </c>
      <c r="W14" s="860">
        <f>M14*0.0975/365*29</f>
        <v>5527956.1643835623</v>
      </c>
      <c r="X14" s="860">
        <f>(P13*0.105/365*6)+(P14*0.105/365*23)</f>
        <v>7072426.0273972601</v>
      </c>
      <c r="Z14" s="837">
        <f t="shared" si="5"/>
        <v>55279561643835.625</v>
      </c>
      <c r="AA14" s="837">
        <f t="shared" si="5"/>
        <v>70724260273972.594</v>
      </c>
    </row>
    <row r="15" spans="2:27">
      <c r="B15" s="841" t="s">
        <v>1922</v>
      </c>
      <c r="C15" s="841"/>
      <c r="D15" s="841"/>
      <c r="E15" s="841">
        <v>1.19</v>
      </c>
      <c r="F15" s="841">
        <f t="shared" si="1"/>
        <v>1.19</v>
      </c>
      <c r="H15" s="854">
        <v>40614</v>
      </c>
      <c r="I15" s="847"/>
      <c r="J15" s="847">
        <f>J14-I15</f>
        <v>571428570</v>
      </c>
      <c r="K15" s="861">
        <f>ROUND(J14*0.1225/365*31,0)</f>
        <v>5945205</v>
      </c>
      <c r="L15" s="838"/>
      <c r="M15" s="847">
        <f t="shared" si="2"/>
        <v>713600000</v>
      </c>
      <c r="N15" s="843">
        <f>ROUND((M14*0.0975/366*31),0)</f>
        <v>5893049</v>
      </c>
      <c r="O15" s="838">
        <v>11900000</v>
      </c>
      <c r="P15" s="847">
        <f t="shared" si="3"/>
        <v>833400000</v>
      </c>
      <c r="Q15" s="847">
        <f>ROUND((P14*0.105/366*6)+(P15*0.105/366*25),0)</f>
        <v>7432279</v>
      </c>
      <c r="R15" s="856">
        <f t="shared" si="4"/>
        <v>11900000</v>
      </c>
      <c r="S15" s="839">
        <f t="shared" si="0"/>
        <v>2118428570</v>
      </c>
      <c r="T15" s="857">
        <f t="shared" si="0"/>
        <v>19270533</v>
      </c>
      <c r="U15" s="858" t="s">
        <v>1923</v>
      </c>
      <c r="V15" s="862">
        <f>J15*0.11/365*31</f>
        <v>5338551.8457534257</v>
      </c>
      <c r="W15" s="860">
        <f>M15*0.0975/365*31</f>
        <v>5909194.520547946</v>
      </c>
      <c r="X15" s="860">
        <f>(P14*0.105/365*6)+(P15*0.105/365*25)</f>
        <v>7452641.0958904102</v>
      </c>
      <c r="Z15" s="837">
        <f t="shared" si="5"/>
        <v>59091945205479.461</v>
      </c>
      <c r="AA15" s="837">
        <f t="shared" si="5"/>
        <v>74526410958904.109</v>
      </c>
    </row>
    <row r="16" spans="2:27" s="864" customFormat="1">
      <c r="B16" s="863" t="s">
        <v>287</v>
      </c>
      <c r="C16" s="863">
        <f>SUM(C4:C15)</f>
        <v>28.57</v>
      </c>
      <c r="D16" s="863">
        <f>SUM(D4:D15)</f>
        <v>14.32</v>
      </c>
      <c r="E16" s="863">
        <f>SUM(E4:E15)</f>
        <v>2.38</v>
      </c>
      <c r="F16" s="863">
        <f t="shared" si="1"/>
        <v>45.27</v>
      </c>
      <c r="H16" s="866" t="s">
        <v>287</v>
      </c>
      <c r="I16" s="866">
        <f>SUM(I4:I15)</f>
        <v>285714286</v>
      </c>
      <c r="J16" s="847"/>
      <c r="K16" s="855">
        <f>SUM(K4:K15)</f>
        <v>98452054</v>
      </c>
      <c r="L16" s="866">
        <f>SUM(L3:L15)</f>
        <v>143200000</v>
      </c>
      <c r="M16" s="866"/>
      <c r="N16" s="866">
        <f>SUM(N4:N15)</f>
        <v>75415801</v>
      </c>
      <c r="O16" s="866">
        <f>SUM(O4:O15)</f>
        <v>142800000</v>
      </c>
      <c r="P16" s="866"/>
      <c r="Q16" s="866">
        <f>SUM(Q4:Q15)</f>
        <v>94827096</v>
      </c>
      <c r="R16" s="872">
        <f>SUM(R4:R15)</f>
        <v>571714286</v>
      </c>
      <c r="S16" s="873">
        <f>S3-R16</f>
        <v>2118428570</v>
      </c>
      <c r="T16" s="857">
        <f t="shared" si="0"/>
        <v>268694951</v>
      </c>
      <c r="U16" s="867" t="s">
        <v>287</v>
      </c>
      <c r="V16" s="870">
        <f>SUM(V4:V15)</f>
        <v>90583170.124383584</v>
      </c>
      <c r="W16" s="860">
        <f>SUM(W4:W15)</f>
        <v>68609601.369863018</v>
      </c>
      <c r="X16" s="860">
        <f>SUM(X4:X15)</f>
        <v>94887723.287671238</v>
      </c>
      <c r="Z16" s="864">
        <f t="shared" si="5"/>
        <v>686096013698630.12</v>
      </c>
      <c r="AA16" s="864">
        <f t="shared" si="5"/>
        <v>948877232876712.37</v>
      </c>
    </row>
    <row r="17" spans="2:23" ht="15.75" customHeight="1">
      <c r="B17" s="841" t="s">
        <v>1924</v>
      </c>
      <c r="C17" s="841">
        <f>C3-C16</f>
        <v>85.72</v>
      </c>
      <c r="D17" s="841">
        <f>D3-D16</f>
        <v>85.68</v>
      </c>
      <c r="E17" s="841">
        <f>E3-E16</f>
        <v>97.62</v>
      </c>
      <c r="F17" s="841">
        <f t="shared" si="1"/>
        <v>269.02</v>
      </c>
      <c r="H17" s="838"/>
      <c r="I17" s="838"/>
      <c r="J17" s="838"/>
      <c r="K17" s="838"/>
      <c r="L17" s="838"/>
      <c r="M17" s="838"/>
      <c r="N17" s="838"/>
      <c r="O17" s="838"/>
      <c r="P17" s="838"/>
      <c r="Q17" s="838"/>
      <c r="R17" s="856"/>
      <c r="S17" s="839"/>
      <c r="T17" s="856"/>
    </row>
    <row r="18" spans="2:23">
      <c r="B18" s="838"/>
      <c r="C18" s="838"/>
      <c r="D18" s="838"/>
      <c r="E18" s="838"/>
      <c r="F18" s="838"/>
      <c r="H18" s="838"/>
      <c r="I18" s="843" t="s">
        <v>1278</v>
      </c>
      <c r="J18" s="839">
        <v>1</v>
      </c>
      <c r="K18" s="844" t="s">
        <v>1895</v>
      </c>
      <c r="L18" s="843" t="s">
        <v>1278</v>
      </c>
      <c r="M18" s="839">
        <v>2</v>
      </c>
      <c r="N18" s="844" t="s">
        <v>1895</v>
      </c>
      <c r="O18" s="843" t="s">
        <v>1278</v>
      </c>
      <c r="P18" s="844">
        <v>3</v>
      </c>
      <c r="Q18" s="844" t="s">
        <v>1895</v>
      </c>
      <c r="R18" s="845" t="s">
        <v>1896</v>
      </c>
      <c r="S18" s="844" t="s">
        <v>1897</v>
      </c>
      <c r="T18" s="845" t="s">
        <v>287</v>
      </c>
    </row>
    <row r="19" spans="2:23">
      <c r="B19" s="838"/>
      <c r="C19" s="838"/>
      <c r="D19" s="838"/>
      <c r="E19" s="838"/>
      <c r="F19" s="838"/>
      <c r="H19" s="843" t="s">
        <v>1898</v>
      </c>
      <c r="I19" s="847"/>
      <c r="J19" s="848">
        <v>571428570</v>
      </c>
      <c r="K19" s="849">
        <v>0.11</v>
      </c>
      <c r="L19" s="838"/>
      <c r="M19" s="838">
        <v>713600000</v>
      </c>
      <c r="N19" s="850">
        <v>9.7500000000000003E-2</v>
      </c>
      <c r="O19" s="838"/>
      <c r="P19" s="838">
        <v>833400000</v>
      </c>
      <c r="Q19" s="851">
        <v>0.105</v>
      </c>
      <c r="R19" s="852" t="s">
        <v>1894</v>
      </c>
      <c r="S19" s="839">
        <f t="shared" ref="S19:T32" si="8">J19+M19+P19</f>
        <v>2118428570</v>
      </c>
      <c r="T19" s="853" t="s">
        <v>1895</v>
      </c>
    </row>
    <row r="20" spans="2:23">
      <c r="E20" s="864"/>
      <c r="H20" s="854">
        <v>41011</v>
      </c>
      <c r="I20" s="847"/>
      <c r="J20" s="848">
        <v>571428570</v>
      </c>
      <c r="K20" s="855">
        <f>ROUND(J19*0.11/365*30,0)</f>
        <v>5166340</v>
      </c>
      <c r="L20" s="838">
        <v>35800000</v>
      </c>
      <c r="M20" s="847">
        <f t="shared" ref="M20:M31" si="9">M19-L20</f>
        <v>677800000</v>
      </c>
      <c r="N20" s="843">
        <f>ROUND((M19*0.0975/365*11)+(M20*0.0975/365*19),0)</f>
        <v>5536878</v>
      </c>
      <c r="O20" s="838">
        <v>11900000</v>
      </c>
      <c r="P20" s="847">
        <f t="shared" ref="P20:P31" si="10">P19-O20</f>
        <v>821500000</v>
      </c>
      <c r="Q20" s="847">
        <f>ROUND((P19*0.105/365*6)+(P20*0.105/365*24),0)</f>
        <v>7110197</v>
      </c>
      <c r="R20" s="856">
        <f t="shared" ref="R20:R31" si="11">I20+L20+O20</f>
        <v>47700000</v>
      </c>
      <c r="S20" s="839">
        <f t="shared" si="8"/>
        <v>2070728570</v>
      </c>
      <c r="T20" s="857">
        <f>K20+N20+Q20</f>
        <v>17813415</v>
      </c>
    </row>
    <row r="21" spans="2:23">
      <c r="H21" s="854">
        <v>40675</v>
      </c>
      <c r="I21" s="847"/>
      <c r="J21" s="848">
        <v>571428570</v>
      </c>
      <c r="K21" s="861">
        <f>ROUND((J20*0.11/365*4)+(J21*0.115/365*27),0)</f>
        <v>5549902</v>
      </c>
      <c r="L21" s="838"/>
      <c r="M21" s="847">
        <f t="shared" si="9"/>
        <v>677800000</v>
      </c>
      <c r="N21" s="843">
        <f>ROUND((M20*0.0975/365*31),0)</f>
        <v>5612741</v>
      </c>
      <c r="O21" s="838">
        <v>11900000</v>
      </c>
      <c r="P21" s="847">
        <f t="shared" si="10"/>
        <v>809600000</v>
      </c>
      <c r="Q21" s="847">
        <f>ROUND((P20*0.105/365*6)+(P21*0.105/365*25),0)</f>
        <v>7240397</v>
      </c>
      <c r="R21" s="856">
        <f t="shared" si="11"/>
        <v>11900000</v>
      </c>
      <c r="S21" s="839">
        <f t="shared" si="8"/>
        <v>2058828570</v>
      </c>
      <c r="T21" s="857">
        <f t="shared" si="8"/>
        <v>18403040</v>
      </c>
      <c r="U21" s="874" t="s">
        <v>1925</v>
      </c>
      <c r="V21" s="837">
        <f>S3-143000000</f>
        <v>2547142856</v>
      </c>
    </row>
    <row r="22" spans="2:23">
      <c r="H22" s="854">
        <v>40341</v>
      </c>
      <c r="I22" s="865"/>
      <c r="J22" s="848">
        <v>571428570</v>
      </c>
      <c r="K22" s="861">
        <f>ROUND(J21*0.115/365*30,0)</f>
        <v>5401174</v>
      </c>
      <c r="L22" s="866"/>
      <c r="M22" s="847">
        <f t="shared" si="9"/>
        <v>677800000</v>
      </c>
      <c r="N22" s="843">
        <f>ROUND((M21*0.0975/365*30),0)</f>
        <v>5431685</v>
      </c>
      <c r="O22" s="838">
        <v>11900000</v>
      </c>
      <c r="P22" s="847">
        <f t="shared" si="10"/>
        <v>797700000</v>
      </c>
      <c r="Q22" s="847">
        <f>ROUND((P21*0.105/365*6)+(P22*0.105/365*24),0)</f>
        <v>6904800</v>
      </c>
      <c r="R22" s="856">
        <f t="shared" si="11"/>
        <v>11900000</v>
      </c>
      <c r="S22" s="839">
        <f t="shared" si="8"/>
        <v>2046928570</v>
      </c>
      <c r="T22" s="857">
        <f t="shared" si="8"/>
        <v>17737659</v>
      </c>
    </row>
    <row r="23" spans="2:23">
      <c r="H23" s="854">
        <v>40006</v>
      </c>
      <c r="I23" s="847"/>
      <c r="J23" s="848">
        <v>571428570</v>
      </c>
      <c r="K23" s="861">
        <f>ROUND((J22*0.115/365*24)+(J23*0.1225/365*7),0)</f>
        <v>5663405</v>
      </c>
      <c r="L23" s="838">
        <v>35800000</v>
      </c>
      <c r="M23" s="847">
        <f t="shared" si="9"/>
        <v>642000000</v>
      </c>
      <c r="N23" s="843">
        <f>ROUND((M22*0.0975/365*11)+(M23*0.0975/365*20),0)</f>
        <v>5421481</v>
      </c>
      <c r="O23" s="838">
        <v>11900000</v>
      </c>
      <c r="P23" s="847">
        <f t="shared" si="10"/>
        <v>785800000</v>
      </c>
      <c r="Q23" s="847">
        <f>ROUND((P22*0.105/365*6)+(P23*0.105/365*25),0)</f>
        <v>7028153</v>
      </c>
      <c r="R23" s="856">
        <f t="shared" si="11"/>
        <v>47700000</v>
      </c>
      <c r="S23" s="839">
        <f t="shared" si="8"/>
        <v>1999228570</v>
      </c>
      <c r="T23" s="857">
        <f t="shared" si="8"/>
        <v>18113039</v>
      </c>
      <c r="W23" s="868">
        <f>(1142857143-285714286)</f>
        <v>857142857</v>
      </c>
    </row>
    <row r="24" spans="2:23">
      <c r="H24" s="854">
        <v>39672</v>
      </c>
      <c r="I24" s="847"/>
      <c r="J24" s="848">
        <v>571428570</v>
      </c>
      <c r="K24" s="861">
        <f>ROUND(J23*0.1225/365*31,0)</f>
        <v>5945205</v>
      </c>
      <c r="L24" s="843"/>
      <c r="M24" s="847">
        <f t="shared" si="9"/>
        <v>642000000</v>
      </c>
      <c r="N24" s="843">
        <f>ROUND((M23*0.0975/365*31),0)</f>
        <v>5316288</v>
      </c>
      <c r="O24" s="838">
        <v>11900000</v>
      </c>
      <c r="P24" s="847">
        <f t="shared" si="10"/>
        <v>773900000</v>
      </c>
      <c r="Q24" s="847">
        <f>ROUND((P23*0.105/365*6)+(P24*0.105/365*25),0)</f>
        <v>6922032</v>
      </c>
      <c r="R24" s="856">
        <f t="shared" si="11"/>
        <v>11900000</v>
      </c>
      <c r="S24" s="839">
        <f t="shared" si="8"/>
        <v>1987328570</v>
      </c>
      <c r="T24" s="857">
        <f t="shared" si="8"/>
        <v>18183525</v>
      </c>
      <c r="W24" s="868" t="s">
        <v>1926</v>
      </c>
    </row>
    <row r="25" spans="2:23">
      <c r="H25" s="854">
        <v>39337</v>
      </c>
      <c r="I25" s="865"/>
      <c r="J25" s="848">
        <v>571428570</v>
      </c>
      <c r="K25" s="861">
        <f>ROUND(J24*0.1225/365*30,0)</f>
        <v>5753425</v>
      </c>
      <c r="L25" s="866"/>
      <c r="M25" s="847">
        <f t="shared" si="9"/>
        <v>642000000</v>
      </c>
      <c r="N25" s="843">
        <f>ROUND((M24*0.0975/365*30),0)</f>
        <v>5144795</v>
      </c>
      <c r="O25" s="838">
        <v>11900000</v>
      </c>
      <c r="P25" s="847">
        <f t="shared" si="10"/>
        <v>762000000</v>
      </c>
      <c r="Q25" s="847">
        <f>ROUND((P24*0.105/365*6)+(P25*0.105/365*24),0)</f>
        <v>6596704</v>
      </c>
      <c r="R25" s="856">
        <f t="shared" si="11"/>
        <v>11900000</v>
      </c>
      <c r="S25" s="839">
        <f t="shared" si="8"/>
        <v>1975428570</v>
      </c>
      <c r="T25" s="857">
        <f t="shared" si="8"/>
        <v>17494924</v>
      </c>
      <c r="W25" s="837" t="e">
        <f>W23*W24</f>
        <v>#VALUE!</v>
      </c>
    </row>
    <row r="26" spans="2:23">
      <c r="H26" s="854">
        <v>39002</v>
      </c>
      <c r="I26" s="847"/>
      <c r="J26" s="848">
        <v>571428570</v>
      </c>
      <c r="K26" s="861">
        <f>ROUND(J25*0.1225/365*31,0)</f>
        <v>5945205</v>
      </c>
      <c r="L26" s="838">
        <v>35800000</v>
      </c>
      <c r="M26" s="847">
        <f t="shared" si="9"/>
        <v>606200000</v>
      </c>
      <c r="N26" s="843">
        <f>ROUND((M25*0.0975/365*11)+(M26*0.0975/365*20),0)</f>
        <v>5125027</v>
      </c>
      <c r="O26" s="838">
        <v>11900000</v>
      </c>
      <c r="P26" s="847">
        <f t="shared" si="10"/>
        <v>750100000</v>
      </c>
      <c r="Q26" s="847">
        <f>ROUND((P25*0.105/365*6)+(P26*0.105/365*25),0)</f>
        <v>6709788</v>
      </c>
      <c r="R26" s="856">
        <f t="shared" si="11"/>
        <v>47700000</v>
      </c>
      <c r="S26" s="839">
        <f t="shared" si="8"/>
        <v>1927728570</v>
      </c>
      <c r="T26" s="857">
        <f t="shared" si="8"/>
        <v>17780020</v>
      </c>
    </row>
    <row r="27" spans="2:23">
      <c r="H27" s="854">
        <v>38668</v>
      </c>
      <c r="I27" s="865"/>
      <c r="J27" s="848">
        <v>571428570</v>
      </c>
      <c r="K27" s="861">
        <f>ROUND(J26*0.1225/365*30,0)</f>
        <v>5753425</v>
      </c>
      <c r="L27" s="866"/>
      <c r="M27" s="847">
        <f t="shared" si="9"/>
        <v>606200000</v>
      </c>
      <c r="N27" s="843">
        <f>ROUND((M26*0.0975/365*30),0)</f>
        <v>4857904</v>
      </c>
      <c r="O27" s="838">
        <v>11900000</v>
      </c>
      <c r="P27" s="847">
        <f t="shared" si="10"/>
        <v>738200000</v>
      </c>
      <c r="Q27" s="847">
        <f>ROUND((P26*0.105/365*6)+(P27*0.105/365*24),0)</f>
        <v>6391307</v>
      </c>
      <c r="R27" s="856">
        <f t="shared" si="11"/>
        <v>11900000</v>
      </c>
      <c r="S27" s="839">
        <f t="shared" si="8"/>
        <v>1915828570</v>
      </c>
      <c r="T27" s="857">
        <f t="shared" si="8"/>
        <v>17002636</v>
      </c>
    </row>
    <row r="28" spans="2:23">
      <c r="H28" s="854">
        <v>38333</v>
      </c>
      <c r="I28" s="847"/>
      <c r="J28" s="848">
        <v>571428570</v>
      </c>
      <c r="K28" s="861">
        <f>ROUND(J27*0.1225/365*31,0)</f>
        <v>5945205</v>
      </c>
      <c r="L28" s="843"/>
      <c r="M28" s="847">
        <f t="shared" si="9"/>
        <v>606200000</v>
      </c>
      <c r="N28" s="843">
        <f>ROUND((M27*0.0975/365*31),0)</f>
        <v>5019834</v>
      </c>
      <c r="O28" s="838">
        <v>11900000</v>
      </c>
      <c r="P28" s="847">
        <f t="shared" si="10"/>
        <v>726300000</v>
      </c>
      <c r="Q28" s="847">
        <f>ROUND((P27*0.105/365*6)+(P28*0.105/365*25),0)</f>
        <v>6497544</v>
      </c>
      <c r="R28" s="856">
        <f t="shared" si="11"/>
        <v>11900000</v>
      </c>
      <c r="S28" s="839">
        <f t="shared" si="8"/>
        <v>1903928570</v>
      </c>
      <c r="T28" s="857">
        <f t="shared" si="8"/>
        <v>17462583</v>
      </c>
    </row>
    <row r="29" spans="2:23">
      <c r="H29" s="854">
        <v>37999</v>
      </c>
      <c r="I29" s="847"/>
      <c r="J29" s="848">
        <v>571428570</v>
      </c>
      <c r="K29" s="861">
        <f>ROUND(J28*0.1225/365*31,0)</f>
        <v>5945205</v>
      </c>
      <c r="L29" s="838">
        <v>35800000</v>
      </c>
      <c r="M29" s="847">
        <f t="shared" si="9"/>
        <v>570400000</v>
      </c>
      <c r="N29" s="843">
        <f>ROUND((M28*0.0975/365*12)+(M29*0.0975/365*19),0)</f>
        <v>4838137</v>
      </c>
      <c r="O29" s="838">
        <v>11900000</v>
      </c>
      <c r="P29" s="847">
        <f t="shared" si="10"/>
        <v>714400000</v>
      </c>
      <c r="Q29" s="847">
        <f>ROUND((P28*0.105/366*6)+(P29*0.105/366*25),0)</f>
        <v>6373959</v>
      </c>
      <c r="R29" s="856">
        <f t="shared" si="11"/>
        <v>47700000</v>
      </c>
      <c r="S29" s="839">
        <f t="shared" si="8"/>
        <v>1856228570</v>
      </c>
      <c r="T29" s="857">
        <f t="shared" si="8"/>
        <v>17157301</v>
      </c>
    </row>
    <row r="30" spans="2:23">
      <c r="H30" s="854">
        <v>37665</v>
      </c>
      <c r="I30" s="865">
        <v>285714286</v>
      </c>
      <c r="J30" s="865">
        <f>J29-I30</f>
        <v>285714284</v>
      </c>
      <c r="K30" s="861">
        <f>ROUND((J29*0.1225/365*14)+(J30*0.1225/365*15),0)</f>
        <v>4123288</v>
      </c>
      <c r="L30" s="866"/>
      <c r="M30" s="847">
        <f t="shared" si="9"/>
        <v>570400000</v>
      </c>
      <c r="N30" s="843">
        <f>ROUND((M29*0.0975/366*29),0)</f>
        <v>4406574</v>
      </c>
      <c r="O30" s="838">
        <v>11900000</v>
      </c>
      <c r="P30" s="847">
        <f t="shared" si="10"/>
        <v>702500000</v>
      </c>
      <c r="Q30" s="847">
        <f>ROUND((P29*0.105/366*6)+(P30*0.105/366*23),0)</f>
        <v>5865053</v>
      </c>
      <c r="R30" s="856">
        <f t="shared" si="11"/>
        <v>297614286</v>
      </c>
      <c r="S30" s="839">
        <f t="shared" si="8"/>
        <v>1558614284</v>
      </c>
      <c r="T30" s="857">
        <f t="shared" si="8"/>
        <v>14394915</v>
      </c>
    </row>
    <row r="31" spans="2:23">
      <c r="H31" s="854">
        <v>37328</v>
      </c>
      <c r="I31" s="847"/>
      <c r="J31" s="847">
        <f>J30-I31</f>
        <v>285714284</v>
      </c>
      <c r="K31" s="861">
        <f>ROUND(J30*0.1225/365*31,0)</f>
        <v>2972603</v>
      </c>
      <c r="L31" s="838"/>
      <c r="M31" s="847">
        <f t="shared" si="9"/>
        <v>570400000</v>
      </c>
      <c r="N31" s="843">
        <f>ROUND((M30*0.0975/366*31),0)</f>
        <v>4710475</v>
      </c>
      <c r="O31" s="838">
        <v>11900000</v>
      </c>
      <c r="P31" s="847">
        <f t="shared" si="10"/>
        <v>690600000</v>
      </c>
      <c r="Q31" s="847">
        <f>ROUND((P30*0.105/366*6)+(P31*0.105/366*25),0)</f>
        <v>6162295</v>
      </c>
      <c r="R31" s="856">
        <f t="shared" si="11"/>
        <v>11900000</v>
      </c>
      <c r="S31" s="839">
        <f t="shared" si="8"/>
        <v>1546714284</v>
      </c>
      <c r="T31" s="857">
        <f t="shared" si="8"/>
        <v>13845373</v>
      </c>
    </row>
    <row r="32" spans="2:23">
      <c r="H32" s="866" t="s">
        <v>287</v>
      </c>
      <c r="I32" s="866">
        <f>SUM(I20:I31)</f>
        <v>285714286</v>
      </c>
      <c r="J32" s="847"/>
      <c r="K32" s="855">
        <f>SUM(K20:K31)</f>
        <v>64164382</v>
      </c>
      <c r="L32" s="866">
        <f>SUM(L19:L31)</f>
        <v>143200000</v>
      </c>
      <c r="M32" s="866"/>
      <c r="N32" s="866">
        <f>SUM(N20:N31)</f>
        <v>61421819</v>
      </c>
      <c r="O32" s="866">
        <f>SUM(O20:O31)</f>
        <v>142800000</v>
      </c>
      <c r="P32" s="866"/>
      <c r="Q32" s="866">
        <f>SUM(Q20:Q31)</f>
        <v>79802229</v>
      </c>
      <c r="R32" s="872">
        <f>SUM(R20:R31)</f>
        <v>571714286</v>
      </c>
      <c r="S32" s="873">
        <f>S19-R32</f>
        <v>1546714284</v>
      </c>
      <c r="T32" s="857">
        <f t="shared" si="8"/>
        <v>205388430</v>
      </c>
    </row>
    <row r="33" spans="8:20" ht="17.25" customHeight="1">
      <c r="H33" s="838"/>
      <c r="I33" s="866"/>
      <c r="J33" s="875"/>
      <c r="K33" s="875"/>
      <c r="L33" s="838"/>
      <c r="M33" s="875"/>
      <c r="N33" s="875"/>
      <c r="O33" s="866"/>
      <c r="P33" s="875"/>
      <c r="Q33" s="875"/>
      <c r="R33" s="856"/>
      <c r="T33" s="856"/>
    </row>
    <row r="34" spans="8:20">
      <c r="H34" s="838"/>
      <c r="I34" s="843" t="s">
        <v>1278</v>
      </c>
      <c r="J34" s="839">
        <v>1</v>
      </c>
      <c r="K34" s="844" t="s">
        <v>1895</v>
      </c>
      <c r="L34" s="843" t="s">
        <v>1278</v>
      </c>
      <c r="M34" s="839">
        <v>2</v>
      </c>
      <c r="N34" s="844" t="s">
        <v>1895</v>
      </c>
      <c r="O34" s="843" t="s">
        <v>1278</v>
      </c>
      <c r="P34" s="844">
        <v>3</v>
      </c>
      <c r="Q34" s="844" t="s">
        <v>1895</v>
      </c>
      <c r="R34" s="845" t="s">
        <v>1896</v>
      </c>
      <c r="S34" s="844" t="s">
        <v>1897</v>
      </c>
      <c r="T34" s="845" t="s">
        <v>287</v>
      </c>
    </row>
    <row r="35" spans="8:20">
      <c r="H35" s="843" t="s">
        <v>1898</v>
      </c>
      <c r="I35" s="847"/>
      <c r="J35" s="848">
        <v>285714284</v>
      </c>
      <c r="K35" s="849">
        <v>0.11</v>
      </c>
      <c r="L35" s="838"/>
      <c r="M35" s="838">
        <v>570400000</v>
      </c>
      <c r="N35" s="850">
        <v>9.7500000000000003E-2</v>
      </c>
      <c r="O35" s="838"/>
      <c r="P35" s="838">
        <v>690600000</v>
      </c>
      <c r="Q35" s="851">
        <v>0.105</v>
      </c>
      <c r="R35" s="852" t="s">
        <v>1894</v>
      </c>
      <c r="S35" s="839">
        <f t="shared" ref="S35:T48" si="12">J35+M35+P35</f>
        <v>1546714284</v>
      </c>
      <c r="T35" s="853" t="s">
        <v>1895</v>
      </c>
    </row>
    <row r="36" spans="8:20">
      <c r="H36" s="877">
        <v>41377</v>
      </c>
      <c r="I36" s="847"/>
      <c r="J36" s="848">
        <v>285714284</v>
      </c>
      <c r="K36" s="855">
        <f>ROUND(J35*0.11/365*30,0)</f>
        <v>2583170</v>
      </c>
      <c r="L36" s="838">
        <v>35800000</v>
      </c>
      <c r="M36" s="847">
        <f t="shared" ref="M36:M47" si="13">M35-L36</f>
        <v>534600000</v>
      </c>
      <c r="N36" s="843">
        <f>ROUND((M35*0.0975/365*11)+(M36*0.0975/365*19),0)</f>
        <v>4389316</v>
      </c>
      <c r="O36" s="838">
        <v>11900000</v>
      </c>
      <c r="P36" s="847">
        <f t="shared" ref="P36:P47" si="14">P35-O36</f>
        <v>678700000</v>
      </c>
      <c r="Q36" s="847">
        <f>ROUND((P35*0.105/365*6)+(P36*0.105/365*24),0)</f>
        <v>5877814</v>
      </c>
      <c r="R36" s="856">
        <f t="shared" ref="R36:R47" si="15">I36+L36+O36</f>
        <v>47700000</v>
      </c>
      <c r="S36" s="839">
        <f t="shared" si="12"/>
        <v>1499014284</v>
      </c>
      <c r="T36" s="857">
        <f>K36+N36+Q36</f>
        <v>12850300</v>
      </c>
    </row>
    <row r="37" spans="8:20">
      <c r="H37" s="877">
        <v>41407</v>
      </c>
      <c r="I37" s="847"/>
      <c r="J37" s="848">
        <v>285714284</v>
      </c>
      <c r="K37" s="861">
        <f>ROUND((J36*0.11/365*4)+(J37*0.115/365*27),0)</f>
        <v>2774951</v>
      </c>
      <c r="L37" s="838"/>
      <c r="M37" s="847">
        <f t="shared" si="13"/>
        <v>534600000</v>
      </c>
      <c r="N37" s="843">
        <f>ROUND((M36*0.0975/365*31),0)</f>
        <v>4426927</v>
      </c>
      <c r="O37" s="838">
        <v>11900000</v>
      </c>
      <c r="P37" s="847">
        <f t="shared" si="14"/>
        <v>666800000</v>
      </c>
      <c r="Q37" s="847">
        <f>ROUND((P36*0.105/365*6)+(P37*0.105/365*25),0)</f>
        <v>5966934</v>
      </c>
      <c r="R37" s="856">
        <f t="shared" si="15"/>
        <v>11900000</v>
      </c>
      <c r="S37" s="839">
        <f t="shared" si="12"/>
        <v>1487114284</v>
      </c>
      <c r="T37" s="857">
        <f t="shared" si="12"/>
        <v>13168812</v>
      </c>
    </row>
    <row r="38" spans="8:20">
      <c r="H38" s="877">
        <v>41438</v>
      </c>
      <c r="I38" s="865"/>
      <c r="J38" s="848">
        <v>285714284</v>
      </c>
      <c r="K38" s="861">
        <f>ROUND(J37*0.115/365*30,0)</f>
        <v>2700587</v>
      </c>
      <c r="L38" s="866"/>
      <c r="M38" s="847">
        <f t="shared" si="13"/>
        <v>534600000</v>
      </c>
      <c r="N38" s="843">
        <f>ROUND((M37*0.0975/365*30),0)</f>
        <v>4284123</v>
      </c>
      <c r="O38" s="838">
        <v>11900000</v>
      </c>
      <c r="P38" s="847">
        <f t="shared" si="14"/>
        <v>654900000</v>
      </c>
      <c r="Q38" s="847">
        <f>ROUND((P37*0.105/365*6)+(P38*0.105/365*24),0)</f>
        <v>5672416</v>
      </c>
      <c r="R38" s="856">
        <f t="shared" si="15"/>
        <v>11900000</v>
      </c>
      <c r="S38" s="839">
        <f t="shared" si="12"/>
        <v>1475214284</v>
      </c>
      <c r="T38" s="857">
        <f t="shared" si="12"/>
        <v>12657126</v>
      </c>
    </row>
    <row r="39" spans="8:20">
      <c r="H39" s="877">
        <v>41468</v>
      </c>
      <c r="I39" s="847"/>
      <c r="J39" s="848">
        <v>285714284</v>
      </c>
      <c r="K39" s="861">
        <f>ROUND((J38*0.115/365*24)+(J39*0.1225/365*7),0)</f>
        <v>2831703</v>
      </c>
      <c r="L39" s="838">
        <v>35800000</v>
      </c>
      <c r="M39" s="847">
        <f t="shared" si="13"/>
        <v>498800000</v>
      </c>
      <c r="N39" s="843">
        <f>ROUND((M38*0.0975/365*11)+(M39*0.0975/365*20),0)</f>
        <v>4235667</v>
      </c>
      <c r="O39" s="838">
        <v>11900000</v>
      </c>
      <c r="P39" s="847">
        <f t="shared" si="14"/>
        <v>643000000</v>
      </c>
      <c r="Q39" s="847">
        <f>ROUND((P38*0.105/365*6)+(P39*0.105/365*25),0)</f>
        <v>5754690</v>
      </c>
      <c r="R39" s="856">
        <f t="shared" si="15"/>
        <v>47700000</v>
      </c>
      <c r="S39" s="839">
        <f t="shared" si="12"/>
        <v>1427514284</v>
      </c>
      <c r="T39" s="857">
        <f t="shared" si="12"/>
        <v>12822060</v>
      </c>
    </row>
    <row r="40" spans="8:20">
      <c r="H40" s="877">
        <v>41499</v>
      </c>
      <c r="I40" s="847"/>
      <c r="J40" s="848">
        <v>285714284</v>
      </c>
      <c r="K40" s="861">
        <f>ROUND(J39*0.1225/365*31,0)</f>
        <v>2972603</v>
      </c>
      <c r="L40" s="843"/>
      <c r="M40" s="847">
        <f t="shared" si="13"/>
        <v>498800000</v>
      </c>
      <c r="N40" s="843">
        <f>ROUND((M39*0.0975/365*31),0)</f>
        <v>4130474</v>
      </c>
      <c r="O40" s="838">
        <v>11900000</v>
      </c>
      <c r="P40" s="847">
        <f t="shared" si="14"/>
        <v>631100000</v>
      </c>
      <c r="Q40" s="847">
        <f>ROUND((P39*0.105/365*6)+(P40*0.105/365*25),0)</f>
        <v>5648568</v>
      </c>
      <c r="R40" s="856">
        <f t="shared" si="15"/>
        <v>11900000</v>
      </c>
      <c r="S40" s="839">
        <f t="shared" si="12"/>
        <v>1415614284</v>
      </c>
      <c r="T40" s="857">
        <f t="shared" si="12"/>
        <v>12751645</v>
      </c>
    </row>
    <row r="41" spans="8:20">
      <c r="H41" s="877">
        <v>41530</v>
      </c>
      <c r="I41" s="865"/>
      <c r="J41" s="848">
        <v>285714284</v>
      </c>
      <c r="K41" s="861">
        <f>ROUND(J40*0.1225/365*30,0)</f>
        <v>2876712</v>
      </c>
      <c r="L41" s="866"/>
      <c r="M41" s="847">
        <f t="shared" si="13"/>
        <v>498800000</v>
      </c>
      <c r="N41" s="843">
        <f>ROUND((M40*0.0975/365*30),0)</f>
        <v>3997233</v>
      </c>
      <c r="O41" s="838">
        <v>11900000</v>
      </c>
      <c r="P41" s="847">
        <f t="shared" si="14"/>
        <v>619200000</v>
      </c>
      <c r="Q41" s="847">
        <f>ROUND((P40*0.105/365*6)+(P41*0.105/365*24),0)</f>
        <v>5364321</v>
      </c>
      <c r="R41" s="856">
        <f t="shared" si="15"/>
        <v>11900000</v>
      </c>
      <c r="S41" s="839">
        <f t="shared" si="12"/>
        <v>1403714284</v>
      </c>
      <c r="T41" s="857">
        <f t="shared" si="12"/>
        <v>12238266</v>
      </c>
    </row>
    <row r="42" spans="8:20">
      <c r="H42" s="877">
        <v>41560</v>
      </c>
      <c r="I42" s="847"/>
      <c r="J42" s="848">
        <v>285714284</v>
      </c>
      <c r="K42" s="861">
        <f>ROUND(J41*0.1225/365*31,0)</f>
        <v>2972603</v>
      </c>
      <c r="L42" s="838">
        <v>35800000</v>
      </c>
      <c r="M42" s="847">
        <f t="shared" si="13"/>
        <v>463000000</v>
      </c>
      <c r="N42" s="843">
        <f>ROUND((M41*0.0975/365*11)+(M42*0.0975/365*20),0)</f>
        <v>3939214</v>
      </c>
      <c r="O42" s="838">
        <v>11900000</v>
      </c>
      <c r="P42" s="847">
        <f t="shared" si="14"/>
        <v>607300000</v>
      </c>
      <c r="Q42" s="847">
        <f>ROUND((P41*0.105/365*6)+(P42*0.105/365*25),0)</f>
        <v>5436325</v>
      </c>
      <c r="R42" s="856">
        <f t="shared" si="15"/>
        <v>47700000</v>
      </c>
      <c r="S42" s="839">
        <f t="shared" si="12"/>
        <v>1356014284</v>
      </c>
      <c r="T42" s="857">
        <f t="shared" si="12"/>
        <v>12348142</v>
      </c>
    </row>
    <row r="43" spans="8:20">
      <c r="H43" s="877">
        <v>41591</v>
      </c>
      <c r="I43" s="865"/>
      <c r="J43" s="848">
        <v>285714284</v>
      </c>
      <c r="K43" s="861">
        <f>ROUND(J42*0.1225/365*30,0)</f>
        <v>2876712</v>
      </c>
      <c r="L43" s="866"/>
      <c r="M43" s="847">
        <f t="shared" si="13"/>
        <v>463000000</v>
      </c>
      <c r="N43" s="843">
        <f>ROUND((M42*0.0975/365*30),0)</f>
        <v>3710342</v>
      </c>
      <c r="O43" s="838">
        <v>11900000</v>
      </c>
      <c r="P43" s="847">
        <f t="shared" si="14"/>
        <v>595400000</v>
      </c>
      <c r="Q43" s="847">
        <f>ROUND((P42*0.105/365*6)+(P43*0.105/365*24),0)</f>
        <v>5158923</v>
      </c>
      <c r="R43" s="856">
        <f t="shared" si="15"/>
        <v>11900000</v>
      </c>
      <c r="S43" s="839">
        <f t="shared" si="12"/>
        <v>1344114284</v>
      </c>
      <c r="T43" s="857">
        <f t="shared" si="12"/>
        <v>11745977</v>
      </c>
    </row>
    <row r="44" spans="8:20">
      <c r="H44" s="877">
        <v>41621</v>
      </c>
      <c r="I44" s="847"/>
      <c r="J44" s="848">
        <v>285714284</v>
      </c>
      <c r="K44" s="861">
        <f>ROUND(J43*0.1225/365*31,0)</f>
        <v>2972603</v>
      </c>
      <c r="L44" s="843"/>
      <c r="M44" s="847">
        <f t="shared" si="13"/>
        <v>463000000</v>
      </c>
      <c r="N44" s="843">
        <f>ROUND((M43*0.0975/365*31),0)</f>
        <v>3834021</v>
      </c>
      <c r="O44" s="838">
        <v>11900000</v>
      </c>
      <c r="P44" s="847">
        <f t="shared" si="14"/>
        <v>583500000</v>
      </c>
      <c r="Q44" s="847">
        <f>ROUND((P43*0.105/365*6)+(P44*0.105/365*25),0)</f>
        <v>5224081</v>
      </c>
      <c r="R44" s="856">
        <f t="shared" si="15"/>
        <v>11900000</v>
      </c>
      <c r="S44" s="839">
        <f t="shared" si="12"/>
        <v>1332214284</v>
      </c>
      <c r="T44" s="857">
        <f t="shared" si="12"/>
        <v>12030705</v>
      </c>
    </row>
    <row r="45" spans="8:20">
      <c r="H45" s="877">
        <v>41652</v>
      </c>
      <c r="I45" s="847"/>
      <c r="J45" s="848">
        <v>285714284</v>
      </c>
      <c r="K45" s="861">
        <f>ROUND(J44*0.1225/365*31,0)</f>
        <v>2972603</v>
      </c>
      <c r="L45" s="838">
        <v>35800000</v>
      </c>
      <c r="M45" s="847">
        <f t="shared" si="13"/>
        <v>427200000</v>
      </c>
      <c r="N45" s="843">
        <f>ROUND((M44*0.0975/365*12)+(M45*0.0975/365*19),0)</f>
        <v>3652323</v>
      </c>
      <c r="O45" s="838">
        <v>11900000</v>
      </c>
      <c r="P45" s="847">
        <f t="shared" si="14"/>
        <v>571600000</v>
      </c>
      <c r="Q45" s="847">
        <f>ROUND((P44*0.105/366*6)+(P45*0.105/366*25),0)</f>
        <v>5103975</v>
      </c>
      <c r="R45" s="856">
        <f t="shared" si="15"/>
        <v>47700000</v>
      </c>
      <c r="S45" s="839">
        <f t="shared" si="12"/>
        <v>1284514284</v>
      </c>
      <c r="T45" s="857">
        <f t="shared" si="12"/>
        <v>11728901</v>
      </c>
    </row>
    <row r="46" spans="8:20">
      <c r="H46" s="877">
        <v>41683</v>
      </c>
      <c r="I46" s="865">
        <v>285714284</v>
      </c>
      <c r="J46" s="878">
        <f>J45-I46</f>
        <v>0</v>
      </c>
      <c r="K46" s="861">
        <f>ROUND((J45*0.1225/365*14),0)</f>
        <v>1342466</v>
      </c>
      <c r="L46" s="866"/>
      <c r="M46" s="847">
        <f t="shared" si="13"/>
        <v>427200000</v>
      </c>
      <c r="N46" s="843">
        <f>ROUND((M45*0.0975/366*29),0)</f>
        <v>3300295</v>
      </c>
      <c r="O46" s="838">
        <v>11900000</v>
      </c>
      <c r="P46" s="847">
        <f t="shared" si="14"/>
        <v>559700000</v>
      </c>
      <c r="Q46" s="847">
        <f>ROUND((P45*0.105/366*6)+(P46*0.105/366*23),0)</f>
        <v>4677004</v>
      </c>
      <c r="R46" s="856">
        <f t="shared" si="15"/>
        <v>297614284</v>
      </c>
      <c r="S46" s="839">
        <f t="shared" si="12"/>
        <v>986900000</v>
      </c>
      <c r="T46" s="857">
        <f t="shared" si="12"/>
        <v>9319765</v>
      </c>
    </row>
    <row r="47" spans="8:20">
      <c r="H47" s="877">
        <v>41711</v>
      </c>
      <c r="I47" s="847"/>
      <c r="J47" s="879">
        <f>J46-I47</f>
        <v>0</v>
      </c>
      <c r="K47" s="880">
        <f>ROUND(J46*0.1225/365*31,0)</f>
        <v>0</v>
      </c>
      <c r="L47" s="838"/>
      <c r="M47" s="847">
        <f t="shared" si="13"/>
        <v>427200000</v>
      </c>
      <c r="N47" s="843">
        <f>ROUND((M46*0.0975/366*31),0)</f>
        <v>3527902</v>
      </c>
      <c r="O47" s="838">
        <v>11900000</v>
      </c>
      <c r="P47" s="847">
        <f t="shared" si="14"/>
        <v>547800000</v>
      </c>
      <c r="Q47" s="847">
        <f>ROUND((P46*0.105/366*6)+(P47*0.105/366*25),0)</f>
        <v>4892311</v>
      </c>
      <c r="R47" s="856">
        <f t="shared" si="15"/>
        <v>11900000</v>
      </c>
      <c r="S47" s="839">
        <f t="shared" si="12"/>
        <v>975000000</v>
      </c>
      <c r="T47" s="857">
        <f t="shared" si="12"/>
        <v>8420213</v>
      </c>
    </row>
    <row r="48" spans="8:20">
      <c r="H48" s="866" t="s">
        <v>287</v>
      </c>
      <c r="I48" s="866">
        <f>SUM(I36:I47)</f>
        <v>285714284</v>
      </c>
      <c r="J48" s="847"/>
      <c r="K48" s="855">
        <f>SUM(K36:K47)</f>
        <v>29876713</v>
      </c>
      <c r="L48" s="866">
        <f>SUM(L35:L47)</f>
        <v>143200000</v>
      </c>
      <c r="M48" s="866"/>
      <c r="N48" s="866">
        <f>SUM(N36:N47)</f>
        <v>47427837</v>
      </c>
      <c r="O48" s="866">
        <f>SUM(O36:O47)</f>
        <v>142800000</v>
      </c>
      <c r="P48" s="866"/>
      <c r="Q48" s="866">
        <f>SUM(Q36:Q47)</f>
        <v>64777362</v>
      </c>
      <c r="R48" s="872">
        <f>SUM(R36:R47)</f>
        <v>571714284</v>
      </c>
      <c r="S48" s="873">
        <f>S35-R48</f>
        <v>975000000</v>
      </c>
      <c r="T48" s="857">
        <f t="shared" si="12"/>
        <v>142081912</v>
      </c>
    </row>
    <row r="49" spans="8:20" ht="21" customHeight="1">
      <c r="R49" s="856"/>
      <c r="T49" s="856"/>
    </row>
    <row r="50" spans="8:20">
      <c r="H50" s="838"/>
      <c r="I50" s="881" t="s">
        <v>1278</v>
      </c>
      <c r="J50" s="882">
        <v>1</v>
      </c>
      <c r="K50" s="882" t="s">
        <v>1895</v>
      </c>
      <c r="L50" s="843" t="s">
        <v>1278</v>
      </c>
      <c r="M50" s="839">
        <v>2</v>
      </c>
      <c r="N50" s="844" t="s">
        <v>1895</v>
      </c>
      <c r="O50" s="843" t="s">
        <v>1278</v>
      </c>
      <c r="P50" s="844">
        <v>3</v>
      </c>
      <c r="Q50" s="844" t="s">
        <v>1895</v>
      </c>
      <c r="R50" s="845" t="s">
        <v>1896</v>
      </c>
      <c r="S50" s="844" t="s">
        <v>1897</v>
      </c>
      <c r="T50" s="845" t="s">
        <v>287</v>
      </c>
    </row>
    <row r="51" spans="8:20">
      <c r="H51" s="843" t="s">
        <v>1898</v>
      </c>
      <c r="I51" s="879"/>
      <c r="J51" s="883">
        <v>0</v>
      </c>
      <c r="K51" s="884"/>
      <c r="L51" s="838"/>
      <c r="M51" s="838">
        <v>427200000</v>
      </c>
      <c r="N51" s="850">
        <v>9.7500000000000003E-2</v>
      </c>
      <c r="O51" s="838"/>
      <c r="P51" s="838">
        <v>547800000</v>
      </c>
      <c r="Q51" s="851">
        <v>0.105</v>
      </c>
      <c r="R51" s="852" t="s">
        <v>1894</v>
      </c>
      <c r="S51" s="839">
        <f t="shared" ref="S51:T64" si="16">J51+M51+P51</f>
        <v>975000000</v>
      </c>
      <c r="T51" s="853" t="s">
        <v>1895</v>
      </c>
    </row>
    <row r="52" spans="8:20">
      <c r="H52" s="877">
        <v>41742</v>
      </c>
      <c r="I52" s="879"/>
      <c r="J52" s="883">
        <v>0</v>
      </c>
      <c r="K52" s="885">
        <f>ROUND(J51*0.11/365*30,0)</f>
        <v>0</v>
      </c>
      <c r="L52" s="838">
        <v>35800000</v>
      </c>
      <c r="M52" s="847">
        <f t="shared" ref="M52:M63" si="17">M51-L52</f>
        <v>391400000</v>
      </c>
      <c r="N52" s="843">
        <f>ROUND((M51*0.0975/365*11)+(M52*0.0975/365*19),0)</f>
        <v>3241755</v>
      </c>
      <c r="O52" s="838">
        <v>11900000</v>
      </c>
      <c r="P52" s="847">
        <f t="shared" ref="P52:P63" si="18">P51-O52</f>
        <v>535900000</v>
      </c>
      <c r="Q52" s="847">
        <f>ROUND((P51*0.105/365*6)+(P52*0.105/365*24),0)</f>
        <v>4645430</v>
      </c>
      <c r="R52" s="856">
        <f t="shared" ref="R52:R63" si="19">I52+L52+O52</f>
        <v>47700000</v>
      </c>
      <c r="S52" s="839">
        <f t="shared" si="16"/>
        <v>927300000</v>
      </c>
      <c r="T52" s="857">
        <f>K52+N52+Q52</f>
        <v>7887185</v>
      </c>
    </row>
    <row r="53" spans="8:20">
      <c r="H53" s="877">
        <v>41772</v>
      </c>
      <c r="I53" s="879"/>
      <c r="J53" s="883">
        <v>0</v>
      </c>
      <c r="K53" s="880">
        <f>ROUND((J52*0.11/365*4)+(J53*0.115/365*27),0)</f>
        <v>0</v>
      </c>
      <c r="L53" s="838"/>
      <c r="M53" s="847">
        <f t="shared" si="17"/>
        <v>391400000</v>
      </c>
      <c r="N53" s="843">
        <f>ROUND((M52*0.0975/365*31),0)</f>
        <v>3241114</v>
      </c>
      <c r="O53" s="838">
        <v>11900000</v>
      </c>
      <c r="P53" s="847">
        <f t="shared" si="18"/>
        <v>524000000</v>
      </c>
      <c r="Q53" s="847">
        <f>ROUND((P52*0.105/365*6)+(P53*0.105/365*25),0)</f>
        <v>4693471</v>
      </c>
      <c r="R53" s="856">
        <f t="shared" si="19"/>
        <v>11900000</v>
      </c>
      <c r="S53" s="839">
        <f t="shared" si="16"/>
        <v>915400000</v>
      </c>
      <c r="T53" s="857">
        <f t="shared" si="16"/>
        <v>7934585</v>
      </c>
    </row>
    <row r="54" spans="8:20">
      <c r="H54" s="877">
        <v>41803</v>
      </c>
      <c r="I54" s="878"/>
      <c r="J54" s="883">
        <v>0</v>
      </c>
      <c r="K54" s="880">
        <f>ROUND(J53*0.115/365*30,0)</f>
        <v>0</v>
      </c>
      <c r="L54" s="866"/>
      <c r="M54" s="847">
        <f t="shared" si="17"/>
        <v>391400000</v>
      </c>
      <c r="N54" s="843">
        <f>ROUND((M53*0.0975/365*30),0)</f>
        <v>3136562</v>
      </c>
      <c r="O54" s="838">
        <v>11900000</v>
      </c>
      <c r="P54" s="847">
        <f t="shared" si="18"/>
        <v>512100000</v>
      </c>
      <c r="Q54" s="847">
        <f>ROUND((P53*0.105/365*6)+(P54*0.105/365*24),0)</f>
        <v>4440033</v>
      </c>
      <c r="R54" s="856">
        <f t="shared" si="19"/>
        <v>11900000</v>
      </c>
      <c r="S54" s="839">
        <f t="shared" si="16"/>
        <v>903500000</v>
      </c>
      <c r="T54" s="857">
        <f t="shared" si="16"/>
        <v>7576595</v>
      </c>
    </row>
    <row r="55" spans="8:20">
      <c r="H55" s="877">
        <v>41833</v>
      </c>
      <c r="I55" s="879"/>
      <c r="J55" s="883">
        <v>0</v>
      </c>
      <c r="K55" s="880">
        <f>ROUND((J54*0.115/365*24)+(J55*0.1225/365*7),0)</f>
        <v>0</v>
      </c>
      <c r="L55" s="838">
        <v>35800000</v>
      </c>
      <c r="M55" s="847">
        <f t="shared" si="17"/>
        <v>355600000</v>
      </c>
      <c r="N55" s="843">
        <f>ROUND((M54*0.0975/365*11)+(M55*0.0975/365*20),0)</f>
        <v>3049853</v>
      </c>
      <c r="O55" s="838">
        <v>11900000</v>
      </c>
      <c r="P55" s="847">
        <f t="shared" si="18"/>
        <v>500200000</v>
      </c>
      <c r="Q55" s="847">
        <f>ROUND((P54*0.105/365*6)+(P55*0.105/365*25),0)</f>
        <v>4481227</v>
      </c>
      <c r="R55" s="856">
        <f t="shared" si="19"/>
        <v>47700000</v>
      </c>
      <c r="S55" s="839">
        <f t="shared" si="16"/>
        <v>855800000</v>
      </c>
      <c r="T55" s="857">
        <f t="shared" si="16"/>
        <v>7531080</v>
      </c>
    </row>
    <row r="56" spans="8:20">
      <c r="H56" s="877">
        <v>41864</v>
      </c>
      <c r="I56" s="879"/>
      <c r="J56" s="883">
        <v>0</v>
      </c>
      <c r="K56" s="880">
        <f>ROUND(J55*0.1225/365*31,0)</f>
        <v>0</v>
      </c>
      <c r="L56" s="843"/>
      <c r="M56" s="847">
        <f t="shared" si="17"/>
        <v>355600000</v>
      </c>
      <c r="N56" s="843">
        <f>ROUND((M55*0.0975/365*31),0)</f>
        <v>2944660</v>
      </c>
      <c r="O56" s="838">
        <v>11900000</v>
      </c>
      <c r="P56" s="847">
        <f t="shared" si="18"/>
        <v>488300000</v>
      </c>
      <c r="Q56" s="847">
        <f>ROUND((P55*0.105/365*6)+(P56*0.105/365*25),0)</f>
        <v>4375105</v>
      </c>
      <c r="R56" s="856">
        <f t="shared" si="19"/>
        <v>11900000</v>
      </c>
      <c r="S56" s="839">
        <f t="shared" si="16"/>
        <v>843900000</v>
      </c>
      <c r="T56" s="857">
        <f t="shared" si="16"/>
        <v>7319765</v>
      </c>
    </row>
    <row r="57" spans="8:20">
      <c r="H57" s="877">
        <v>41895</v>
      </c>
      <c r="I57" s="878"/>
      <c r="J57" s="883">
        <v>0</v>
      </c>
      <c r="K57" s="880">
        <f>ROUND(J56*0.1225/365*30,0)</f>
        <v>0</v>
      </c>
      <c r="L57" s="866"/>
      <c r="M57" s="847">
        <f t="shared" si="17"/>
        <v>355600000</v>
      </c>
      <c r="N57" s="843">
        <f>ROUND((M56*0.0975/365*30),0)</f>
        <v>2849671</v>
      </c>
      <c r="O57" s="838">
        <v>11900000</v>
      </c>
      <c r="P57" s="847">
        <f t="shared" si="18"/>
        <v>476400000</v>
      </c>
      <c r="Q57" s="847">
        <f>ROUND((P56*0.105/365*6)+(P57*0.105/365*24),0)</f>
        <v>4131937</v>
      </c>
      <c r="R57" s="856">
        <f t="shared" si="19"/>
        <v>11900000</v>
      </c>
      <c r="S57" s="839">
        <f t="shared" si="16"/>
        <v>832000000</v>
      </c>
      <c r="T57" s="857">
        <f t="shared" si="16"/>
        <v>6981608</v>
      </c>
    </row>
    <row r="58" spans="8:20">
      <c r="H58" s="877">
        <v>41925</v>
      </c>
      <c r="I58" s="879"/>
      <c r="J58" s="883">
        <v>0</v>
      </c>
      <c r="K58" s="880">
        <f>ROUND(J57*0.1225/365*31,0)</f>
        <v>0</v>
      </c>
      <c r="L58" s="838">
        <v>35800000</v>
      </c>
      <c r="M58" s="847">
        <f t="shared" si="17"/>
        <v>319800000</v>
      </c>
      <c r="N58" s="843">
        <f>ROUND((M57*0.0975/365*11)+(M58*0.0975/365*20),0)</f>
        <v>2753400</v>
      </c>
      <c r="O58" s="838">
        <v>11900000</v>
      </c>
      <c r="P58" s="847">
        <f t="shared" si="18"/>
        <v>464500000</v>
      </c>
      <c r="Q58" s="847">
        <f>ROUND((P57*0.105/365*6)+(P58*0.105/365*25),0)</f>
        <v>4162862</v>
      </c>
      <c r="R58" s="856">
        <f t="shared" si="19"/>
        <v>47700000</v>
      </c>
      <c r="S58" s="839">
        <f t="shared" si="16"/>
        <v>784300000</v>
      </c>
      <c r="T58" s="857">
        <f t="shared" si="16"/>
        <v>6916262</v>
      </c>
    </row>
    <row r="59" spans="8:20">
      <c r="H59" s="877">
        <v>41956</v>
      </c>
      <c r="I59" s="878"/>
      <c r="J59" s="883">
        <v>0</v>
      </c>
      <c r="K59" s="880">
        <f>ROUND(J58*0.1225/365*30,0)</f>
        <v>0</v>
      </c>
      <c r="L59" s="866"/>
      <c r="M59" s="847">
        <f t="shared" si="17"/>
        <v>319800000</v>
      </c>
      <c r="N59" s="843">
        <f>ROUND((M58*0.0975/365*30),0)</f>
        <v>2562781</v>
      </c>
      <c r="O59" s="838">
        <v>11900000</v>
      </c>
      <c r="P59" s="847">
        <f t="shared" si="18"/>
        <v>452600000</v>
      </c>
      <c r="Q59" s="847">
        <f>ROUND((P58*0.105/365*6)+(P59*0.105/365*24),0)</f>
        <v>3926540</v>
      </c>
      <c r="R59" s="856">
        <f t="shared" si="19"/>
        <v>11900000</v>
      </c>
      <c r="S59" s="839">
        <f t="shared" si="16"/>
        <v>772400000</v>
      </c>
      <c r="T59" s="857">
        <f t="shared" si="16"/>
        <v>6489321</v>
      </c>
    </row>
    <row r="60" spans="8:20">
      <c r="H60" s="877">
        <v>41986</v>
      </c>
      <c r="I60" s="879"/>
      <c r="J60" s="883">
        <v>0</v>
      </c>
      <c r="K60" s="880">
        <f>ROUND(J59*0.1225/365*31,0)</f>
        <v>0</v>
      </c>
      <c r="L60" s="843"/>
      <c r="M60" s="847">
        <f t="shared" si="17"/>
        <v>319800000</v>
      </c>
      <c r="N60" s="843">
        <f>ROUND((M59*0.0975/365*31),0)</f>
        <v>2648207</v>
      </c>
      <c r="O60" s="838">
        <v>11900000</v>
      </c>
      <c r="P60" s="847">
        <f t="shared" si="18"/>
        <v>440700000</v>
      </c>
      <c r="Q60" s="847">
        <f>ROUND((P59*0.105/365*6)+(P60*0.105/365*25),0)</f>
        <v>3950618</v>
      </c>
      <c r="R60" s="856">
        <f t="shared" si="19"/>
        <v>11900000</v>
      </c>
      <c r="S60" s="839">
        <f t="shared" si="16"/>
        <v>760500000</v>
      </c>
      <c r="T60" s="857">
        <f t="shared" si="16"/>
        <v>6598825</v>
      </c>
    </row>
    <row r="61" spans="8:20">
      <c r="H61" s="877">
        <v>42017</v>
      </c>
      <c r="I61" s="879"/>
      <c r="J61" s="883">
        <v>0</v>
      </c>
      <c r="K61" s="880">
        <f>ROUND(J60*0.1225/365*31,0)</f>
        <v>0</v>
      </c>
      <c r="L61" s="838">
        <v>35800000</v>
      </c>
      <c r="M61" s="847">
        <f t="shared" si="17"/>
        <v>284000000</v>
      </c>
      <c r="N61" s="843">
        <f>ROUND((M60*0.0975/365*12)+(M61*0.0975/365*19),0)</f>
        <v>2466510</v>
      </c>
      <c r="O61" s="838">
        <v>11900000</v>
      </c>
      <c r="P61" s="847">
        <f t="shared" si="18"/>
        <v>428800000</v>
      </c>
      <c r="Q61" s="847">
        <f>ROUND((P60*0.105/366*6)+(P61*0.105/366*25),0)</f>
        <v>3833992</v>
      </c>
      <c r="R61" s="856">
        <f t="shared" si="19"/>
        <v>47700000</v>
      </c>
      <c r="S61" s="839">
        <f t="shared" si="16"/>
        <v>712800000</v>
      </c>
      <c r="T61" s="857">
        <f t="shared" si="16"/>
        <v>6300502</v>
      </c>
    </row>
    <row r="62" spans="8:20">
      <c r="H62" s="877">
        <v>42048</v>
      </c>
      <c r="I62" s="878">
        <v>0</v>
      </c>
      <c r="J62" s="878">
        <f>J61-I62</f>
        <v>0</v>
      </c>
      <c r="K62" s="880">
        <f>ROUND((J61*0.1225/365*14),0)</f>
        <v>0</v>
      </c>
      <c r="L62" s="866"/>
      <c r="M62" s="847">
        <f t="shared" si="17"/>
        <v>284000000</v>
      </c>
      <c r="N62" s="843">
        <f>ROUND((M61*0.0975/366*29),0)</f>
        <v>2194016</v>
      </c>
      <c r="O62" s="838">
        <v>11900000</v>
      </c>
      <c r="P62" s="847">
        <f t="shared" si="18"/>
        <v>416900000</v>
      </c>
      <c r="Q62" s="847">
        <f>ROUND((P61*0.105/366*6)+(P62*0.105/366*23),0)</f>
        <v>3488955</v>
      </c>
      <c r="R62" s="856">
        <f t="shared" si="19"/>
        <v>11900000</v>
      </c>
      <c r="S62" s="839">
        <f t="shared" si="16"/>
        <v>700900000</v>
      </c>
      <c r="T62" s="857">
        <f t="shared" si="16"/>
        <v>5682971</v>
      </c>
    </row>
    <row r="63" spans="8:20">
      <c r="H63" s="877">
        <v>42076</v>
      </c>
      <c r="I63" s="879"/>
      <c r="J63" s="879">
        <f>J62-I63</f>
        <v>0</v>
      </c>
      <c r="K63" s="880">
        <f>ROUND(J62*0.1225/365*31,0)</f>
        <v>0</v>
      </c>
      <c r="L63" s="838"/>
      <c r="M63" s="847">
        <f t="shared" si="17"/>
        <v>284000000</v>
      </c>
      <c r="N63" s="843">
        <f>ROUND((M62*0.0975/366*31),0)</f>
        <v>2345328</v>
      </c>
      <c r="O63" s="838">
        <v>11900000</v>
      </c>
      <c r="P63" s="847">
        <f t="shared" si="18"/>
        <v>405000000</v>
      </c>
      <c r="Q63" s="847">
        <f>ROUND((P62*0.105/366*6)+(P63*0.105/366*25),0)</f>
        <v>3622328</v>
      </c>
      <c r="R63" s="856">
        <f t="shared" si="19"/>
        <v>11900000</v>
      </c>
      <c r="S63" s="839">
        <f t="shared" si="16"/>
        <v>689000000</v>
      </c>
      <c r="T63" s="857">
        <f t="shared" si="16"/>
        <v>5967656</v>
      </c>
    </row>
    <row r="64" spans="8:20">
      <c r="H64" s="866" t="s">
        <v>287</v>
      </c>
      <c r="I64" s="886">
        <f>SUM(I52:I63)</f>
        <v>0</v>
      </c>
      <c r="J64" s="879"/>
      <c r="K64" s="885">
        <f>SUM(K52:K63)</f>
        <v>0</v>
      </c>
      <c r="L64" s="866">
        <f>SUM(L51:L63)</f>
        <v>143200000</v>
      </c>
      <c r="M64" s="866"/>
      <c r="N64" s="866">
        <f>SUM(N52:N63)</f>
        <v>33433857</v>
      </c>
      <c r="O64" s="866">
        <f>SUM(O52:O63)</f>
        <v>142800000</v>
      </c>
      <c r="P64" s="866"/>
      <c r="Q64" s="866">
        <f>SUM(Q52:Q63)</f>
        <v>49752498</v>
      </c>
      <c r="R64" s="872">
        <f>SUM(R52:R63)</f>
        <v>286000000</v>
      </c>
      <c r="S64" s="873">
        <f>S51-R64</f>
        <v>689000000</v>
      </c>
      <c r="T64" s="857">
        <f t="shared" si="16"/>
        <v>83186355</v>
      </c>
    </row>
    <row r="65" spans="8:20" ht="18.75" customHeight="1">
      <c r="R65" s="856"/>
      <c r="T65" s="856"/>
    </row>
    <row r="66" spans="8:20">
      <c r="H66" s="838"/>
      <c r="I66" s="881" t="s">
        <v>1278</v>
      </c>
      <c r="J66" s="882">
        <v>1</v>
      </c>
      <c r="K66" s="882" t="s">
        <v>1895</v>
      </c>
      <c r="L66" s="843" t="s">
        <v>1278</v>
      </c>
      <c r="M66" s="839">
        <v>2</v>
      </c>
      <c r="N66" s="844" t="s">
        <v>1895</v>
      </c>
      <c r="O66" s="843" t="s">
        <v>1278</v>
      </c>
      <c r="P66" s="844">
        <v>3</v>
      </c>
      <c r="Q66" s="844" t="s">
        <v>1895</v>
      </c>
      <c r="R66" s="845" t="s">
        <v>1896</v>
      </c>
      <c r="S66" s="844" t="s">
        <v>1897</v>
      </c>
      <c r="T66" s="845" t="s">
        <v>287</v>
      </c>
    </row>
    <row r="67" spans="8:20">
      <c r="H67" s="843" t="s">
        <v>1898</v>
      </c>
      <c r="I67" s="879"/>
      <c r="J67" s="883">
        <v>0</v>
      </c>
      <c r="K67" s="884"/>
      <c r="L67" s="838"/>
      <c r="M67" s="838">
        <v>284000000</v>
      </c>
      <c r="N67" s="850">
        <v>9.7500000000000003E-2</v>
      </c>
      <c r="O67" s="838"/>
      <c r="P67" s="838">
        <v>405000000</v>
      </c>
      <c r="Q67" s="851">
        <v>0.105</v>
      </c>
      <c r="R67" s="852" t="s">
        <v>1894</v>
      </c>
      <c r="S67" s="839">
        <f t="shared" ref="S67:T80" si="20">J67+M67+P67</f>
        <v>689000000</v>
      </c>
      <c r="T67" s="853" t="s">
        <v>1895</v>
      </c>
    </row>
    <row r="68" spans="8:20">
      <c r="H68" s="877">
        <v>42107</v>
      </c>
      <c r="I68" s="879"/>
      <c r="J68" s="883">
        <v>0</v>
      </c>
      <c r="K68" s="885">
        <f>ROUND(J67*0.11/365*30,0)</f>
        <v>0</v>
      </c>
      <c r="L68" s="838">
        <v>35800000</v>
      </c>
      <c r="M68" s="847">
        <f t="shared" ref="M68:M79" si="21">M67-L68</f>
        <v>248200000</v>
      </c>
      <c r="N68" s="843">
        <f>ROUND((M67*0.0975/365*11)+(M68*0.0975/365*19),0)</f>
        <v>2094193</v>
      </c>
      <c r="O68" s="838">
        <v>11900000</v>
      </c>
      <c r="P68" s="847">
        <f t="shared" ref="P68:P79" si="22">P67-O68</f>
        <v>393100000</v>
      </c>
      <c r="Q68" s="847">
        <f>ROUND((P67*0.105/365*6)+(P68*0.105/365*24),0)</f>
        <v>3413047</v>
      </c>
      <c r="R68" s="856">
        <f t="shared" ref="R68:R79" si="23">I68+L68+O68</f>
        <v>47700000</v>
      </c>
      <c r="S68" s="839">
        <f t="shared" si="20"/>
        <v>641300000</v>
      </c>
      <c r="T68" s="857">
        <f>K68+N68+Q68</f>
        <v>5507240</v>
      </c>
    </row>
    <row r="69" spans="8:20">
      <c r="H69" s="877">
        <v>42137</v>
      </c>
      <c r="I69" s="879"/>
      <c r="J69" s="883">
        <v>0</v>
      </c>
      <c r="K69" s="880">
        <f>ROUND((J68*0.11/365*4)+(J69*0.115/365*27),0)</f>
        <v>0</v>
      </c>
      <c r="L69" s="838"/>
      <c r="M69" s="847">
        <f t="shared" si="21"/>
        <v>248200000</v>
      </c>
      <c r="N69" s="843">
        <f>ROUND((M68*0.0975/365*31),0)</f>
        <v>2055300</v>
      </c>
      <c r="O69" s="838">
        <v>11900000</v>
      </c>
      <c r="P69" s="847">
        <f t="shared" si="22"/>
        <v>381200000</v>
      </c>
      <c r="Q69" s="847">
        <f>ROUND((P68*0.105/365*6)+(P69*0.105/365*25),0)</f>
        <v>3420008</v>
      </c>
      <c r="R69" s="856">
        <f t="shared" si="23"/>
        <v>11900000</v>
      </c>
      <c r="S69" s="839">
        <f t="shared" si="20"/>
        <v>629400000</v>
      </c>
      <c r="T69" s="857">
        <f t="shared" si="20"/>
        <v>5475308</v>
      </c>
    </row>
    <row r="70" spans="8:20">
      <c r="H70" s="877">
        <v>42168</v>
      </c>
      <c r="I70" s="878"/>
      <c r="J70" s="883">
        <v>0</v>
      </c>
      <c r="K70" s="880">
        <f>ROUND(J69*0.115/365*30,0)</f>
        <v>0</v>
      </c>
      <c r="L70" s="866"/>
      <c r="M70" s="847">
        <f t="shared" si="21"/>
        <v>248200000</v>
      </c>
      <c r="N70" s="843">
        <f>ROUND((M69*0.0975/365*30),0)</f>
        <v>1989000</v>
      </c>
      <c r="O70" s="838">
        <v>11900000</v>
      </c>
      <c r="P70" s="847">
        <f t="shared" si="22"/>
        <v>369300000</v>
      </c>
      <c r="Q70" s="847">
        <f>ROUND((P69*0.105/365*6)+(P70*0.105/365*24),0)</f>
        <v>3207649</v>
      </c>
      <c r="R70" s="856">
        <f t="shared" si="23"/>
        <v>11900000</v>
      </c>
      <c r="S70" s="839">
        <f t="shared" si="20"/>
        <v>617500000</v>
      </c>
      <c r="T70" s="857">
        <f t="shared" si="20"/>
        <v>5196649</v>
      </c>
    </row>
    <row r="71" spans="8:20">
      <c r="H71" s="877">
        <v>42198</v>
      </c>
      <c r="I71" s="879"/>
      <c r="J71" s="883">
        <v>0</v>
      </c>
      <c r="K71" s="880">
        <f>ROUND((J70*0.115/365*24)+(J71*0.1225/365*7),0)</f>
        <v>0</v>
      </c>
      <c r="L71" s="838">
        <v>35800000</v>
      </c>
      <c r="M71" s="847">
        <f t="shared" si="21"/>
        <v>212400000</v>
      </c>
      <c r="N71" s="843">
        <f>ROUND((M70*0.0975/365*11)+(M71*0.0975/365*20),0)</f>
        <v>1864040</v>
      </c>
      <c r="O71" s="838">
        <v>11900000</v>
      </c>
      <c r="P71" s="847">
        <f t="shared" si="22"/>
        <v>357400000</v>
      </c>
      <c r="Q71" s="847">
        <f>ROUND((P70*0.105/365*6)+(P71*0.105/365*25),0)</f>
        <v>3207764</v>
      </c>
      <c r="R71" s="856">
        <f t="shared" si="23"/>
        <v>47700000</v>
      </c>
      <c r="S71" s="839">
        <f t="shared" si="20"/>
        <v>569800000</v>
      </c>
      <c r="T71" s="857">
        <f t="shared" si="20"/>
        <v>5071804</v>
      </c>
    </row>
    <row r="72" spans="8:20">
      <c r="H72" s="877">
        <v>42229</v>
      </c>
      <c r="I72" s="879"/>
      <c r="J72" s="883">
        <v>0</v>
      </c>
      <c r="K72" s="880">
        <f>ROUND(J71*0.1225/365*31,0)</f>
        <v>0</v>
      </c>
      <c r="L72" s="843"/>
      <c r="M72" s="847">
        <f t="shared" si="21"/>
        <v>212400000</v>
      </c>
      <c r="N72" s="843">
        <f>ROUND((M71*0.0975/365*31),0)</f>
        <v>1758847</v>
      </c>
      <c r="O72" s="838">
        <v>11900000</v>
      </c>
      <c r="P72" s="847">
        <f t="shared" si="22"/>
        <v>345500000</v>
      </c>
      <c r="Q72" s="847">
        <f>ROUND((P71*0.105/365*6)+(P72*0.105/365*25),0)</f>
        <v>3101642</v>
      </c>
      <c r="R72" s="856">
        <f t="shared" si="23"/>
        <v>11900000</v>
      </c>
      <c r="S72" s="839">
        <f t="shared" si="20"/>
        <v>557900000</v>
      </c>
      <c r="T72" s="857">
        <f t="shared" si="20"/>
        <v>4860489</v>
      </c>
    </row>
    <row r="73" spans="8:20">
      <c r="H73" s="877">
        <v>42260</v>
      </c>
      <c r="I73" s="878"/>
      <c r="J73" s="883">
        <v>0</v>
      </c>
      <c r="K73" s="880">
        <f>ROUND(J72*0.1225/365*30,0)</f>
        <v>0</v>
      </c>
      <c r="L73" s="866"/>
      <c r="M73" s="847">
        <f t="shared" si="21"/>
        <v>212400000</v>
      </c>
      <c r="N73" s="843">
        <f>ROUND((M72*0.0975/365*30),0)</f>
        <v>1702110</v>
      </c>
      <c r="O73" s="838">
        <v>11900000</v>
      </c>
      <c r="P73" s="847">
        <f t="shared" si="22"/>
        <v>333600000</v>
      </c>
      <c r="Q73" s="847">
        <f>ROUND((P72*0.105/365*6)+(P73*0.105/365*24),0)</f>
        <v>2899553</v>
      </c>
      <c r="R73" s="856">
        <f t="shared" si="23"/>
        <v>11900000</v>
      </c>
      <c r="S73" s="839">
        <f t="shared" si="20"/>
        <v>546000000</v>
      </c>
      <c r="T73" s="857">
        <f t="shared" si="20"/>
        <v>4601663</v>
      </c>
    </row>
    <row r="74" spans="8:20">
      <c r="H74" s="877">
        <v>42290</v>
      </c>
      <c r="I74" s="879"/>
      <c r="J74" s="883">
        <v>0</v>
      </c>
      <c r="K74" s="880">
        <f>ROUND(J73*0.1225/365*31,0)</f>
        <v>0</v>
      </c>
      <c r="L74" s="838">
        <v>35800000</v>
      </c>
      <c r="M74" s="847">
        <f t="shared" si="21"/>
        <v>176600000</v>
      </c>
      <c r="N74" s="843">
        <f>ROUND((M73*0.0975/365*11)+(M74*0.0975/365*20),0)</f>
        <v>1567586</v>
      </c>
      <c r="O74" s="838">
        <v>11900000</v>
      </c>
      <c r="P74" s="847">
        <f t="shared" si="22"/>
        <v>321700000</v>
      </c>
      <c r="Q74" s="847">
        <f>ROUND((P73*0.105/365*6)+(P74*0.105/365*25),0)</f>
        <v>2889399</v>
      </c>
      <c r="R74" s="856">
        <f t="shared" si="23"/>
        <v>47700000</v>
      </c>
      <c r="S74" s="839">
        <f t="shared" si="20"/>
        <v>498300000</v>
      </c>
      <c r="T74" s="857">
        <f t="shared" si="20"/>
        <v>4456985</v>
      </c>
    </row>
    <row r="75" spans="8:20">
      <c r="H75" s="877">
        <v>42321</v>
      </c>
      <c r="I75" s="878"/>
      <c r="J75" s="883">
        <v>0</v>
      </c>
      <c r="K75" s="880">
        <f>ROUND(J74*0.1225/365*30,0)</f>
        <v>0</v>
      </c>
      <c r="L75" s="866"/>
      <c r="M75" s="847">
        <f t="shared" si="21"/>
        <v>176600000</v>
      </c>
      <c r="N75" s="843">
        <f>ROUND((M74*0.0975/365*30),0)</f>
        <v>1415219</v>
      </c>
      <c r="O75" s="838">
        <v>11900000</v>
      </c>
      <c r="P75" s="847">
        <f t="shared" si="22"/>
        <v>309800000</v>
      </c>
      <c r="Q75" s="847">
        <f>ROUND((P74*0.105/365*6)+(P75*0.105/365*24),0)</f>
        <v>2694156</v>
      </c>
      <c r="R75" s="856">
        <f t="shared" si="23"/>
        <v>11900000</v>
      </c>
      <c r="S75" s="839">
        <f t="shared" si="20"/>
        <v>486400000</v>
      </c>
      <c r="T75" s="857">
        <f t="shared" si="20"/>
        <v>4109375</v>
      </c>
    </row>
    <row r="76" spans="8:20">
      <c r="H76" s="877">
        <v>42351</v>
      </c>
      <c r="I76" s="879"/>
      <c r="J76" s="883">
        <v>0</v>
      </c>
      <c r="K76" s="880">
        <f>ROUND(J75*0.1225/365*31,0)</f>
        <v>0</v>
      </c>
      <c r="L76" s="843"/>
      <c r="M76" s="847">
        <f t="shared" si="21"/>
        <v>176600000</v>
      </c>
      <c r="N76" s="843">
        <f>ROUND((M75*0.0975/365*31),0)</f>
        <v>1462393</v>
      </c>
      <c r="O76" s="838">
        <v>11900000</v>
      </c>
      <c r="P76" s="847">
        <f t="shared" si="22"/>
        <v>297900000</v>
      </c>
      <c r="Q76" s="847">
        <f>ROUND((P75*0.105/365*6)+(P76*0.105/365*25),0)</f>
        <v>2677155</v>
      </c>
      <c r="R76" s="856">
        <f t="shared" si="23"/>
        <v>11900000</v>
      </c>
      <c r="S76" s="839">
        <f t="shared" si="20"/>
        <v>474500000</v>
      </c>
      <c r="T76" s="857">
        <f t="shared" si="20"/>
        <v>4139548</v>
      </c>
    </row>
    <row r="77" spans="8:20">
      <c r="H77" s="877">
        <v>42382</v>
      </c>
      <c r="I77" s="879"/>
      <c r="J77" s="883">
        <v>0</v>
      </c>
      <c r="K77" s="880">
        <f>ROUND(J76*0.1225/365*31,0)</f>
        <v>0</v>
      </c>
      <c r="L77" s="838">
        <v>35800000</v>
      </c>
      <c r="M77" s="847">
        <f t="shared" si="21"/>
        <v>140800000</v>
      </c>
      <c r="N77" s="843">
        <f>ROUND((M76*0.0975/365*12)+(M77*0.0975/365*19),0)</f>
        <v>1280696</v>
      </c>
      <c r="O77" s="838">
        <v>11900000</v>
      </c>
      <c r="P77" s="847">
        <f t="shared" si="22"/>
        <v>286000000</v>
      </c>
      <c r="Q77" s="847">
        <f>ROUND((P76*0.105/366*6)+(P77*0.105/366*25),0)</f>
        <v>2564008</v>
      </c>
      <c r="R77" s="856">
        <f t="shared" si="23"/>
        <v>47700000</v>
      </c>
      <c r="S77" s="839">
        <f t="shared" si="20"/>
        <v>426800000</v>
      </c>
      <c r="T77" s="857">
        <f t="shared" si="20"/>
        <v>3844704</v>
      </c>
    </row>
    <row r="78" spans="8:20">
      <c r="H78" s="877">
        <v>42413</v>
      </c>
      <c r="I78" s="878">
        <v>0</v>
      </c>
      <c r="J78" s="878">
        <f>J77-I78</f>
        <v>0</v>
      </c>
      <c r="K78" s="880">
        <f>ROUND((J77*0.1225/365*14),0)</f>
        <v>0</v>
      </c>
      <c r="L78" s="866"/>
      <c r="M78" s="847">
        <f t="shared" si="21"/>
        <v>140800000</v>
      </c>
      <c r="N78" s="843">
        <f>ROUND((M77*0.0975/366*29),0)</f>
        <v>1087738</v>
      </c>
      <c r="O78" s="838">
        <v>11900000</v>
      </c>
      <c r="P78" s="847">
        <f t="shared" si="22"/>
        <v>274100000</v>
      </c>
      <c r="Q78" s="847">
        <f>ROUND((P77*0.105/366*6)+(P78*0.105/366*23),0)</f>
        <v>2300906</v>
      </c>
      <c r="R78" s="856">
        <f t="shared" si="23"/>
        <v>11900000</v>
      </c>
      <c r="S78" s="839">
        <f t="shared" si="20"/>
        <v>414900000</v>
      </c>
      <c r="T78" s="857">
        <f t="shared" si="20"/>
        <v>3388644</v>
      </c>
    </row>
    <row r="79" spans="8:20">
      <c r="H79" s="877">
        <v>42442</v>
      </c>
      <c r="I79" s="879"/>
      <c r="J79" s="879">
        <f>J78-I79</f>
        <v>0</v>
      </c>
      <c r="K79" s="880">
        <f>ROUND(J78*0.1225/365*31,0)</f>
        <v>0</v>
      </c>
      <c r="L79" s="838"/>
      <c r="M79" s="847">
        <f t="shared" si="21"/>
        <v>140800000</v>
      </c>
      <c r="N79" s="843">
        <f>ROUND((M78*0.0975/366*31),0)</f>
        <v>1162754</v>
      </c>
      <c r="O79" s="838">
        <v>11900000</v>
      </c>
      <c r="P79" s="847">
        <f t="shared" si="22"/>
        <v>262200000</v>
      </c>
      <c r="Q79" s="847">
        <f>ROUND((P78*0.105/366*6)+(P79*0.105/366*25),0)</f>
        <v>2352344</v>
      </c>
      <c r="R79" s="856">
        <f t="shared" si="23"/>
        <v>11900000</v>
      </c>
      <c r="S79" s="839">
        <f t="shared" si="20"/>
        <v>403000000</v>
      </c>
      <c r="T79" s="857">
        <f t="shared" si="20"/>
        <v>3515098</v>
      </c>
    </row>
    <row r="80" spans="8:20">
      <c r="H80" s="866" t="s">
        <v>287</v>
      </c>
      <c r="I80" s="886">
        <f>SUM(I68:I79)</f>
        <v>0</v>
      </c>
      <c r="J80" s="879"/>
      <c r="K80" s="885">
        <f>SUM(K68:K79)</f>
        <v>0</v>
      </c>
      <c r="L80" s="866">
        <f>SUM(L67:L79)</f>
        <v>143200000</v>
      </c>
      <c r="M80" s="866"/>
      <c r="N80" s="866">
        <f>SUM(N68:N79)</f>
        <v>19439876</v>
      </c>
      <c r="O80" s="866">
        <f>SUM(O68:O79)</f>
        <v>142800000</v>
      </c>
      <c r="P80" s="866"/>
      <c r="Q80" s="866">
        <f>SUM(Q68:Q79)</f>
        <v>34727631</v>
      </c>
      <c r="R80" s="872">
        <f>SUM(R68:R79)</f>
        <v>286000000</v>
      </c>
      <c r="S80" s="873">
        <f>S67-R80</f>
        <v>403000000</v>
      </c>
      <c r="T80" s="857">
        <f t="shared" si="20"/>
        <v>54167507</v>
      </c>
    </row>
    <row r="81" spans="8:20" ht="18" customHeight="1">
      <c r="R81" s="856"/>
      <c r="T81" s="856"/>
    </row>
    <row r="82" spans="8:20">
      <c r="H82" s="838"/>
      <c r="I82" s="881" t="s">
        <v>1278</v>
      </c>
      <c r="J82" s="882">
        <v>1</v>
      </c>
      <c r="K82" s="882" t="s">
        <v>1895</v>
      </c>
      <c r="L82" s="843" t="s">
        <v>1278</v>
      </c>
      <c r="M82" s="839">
        <v>2</v>
      </c>
      <c r="N82" s="844" t="s">
        <v>1895</v>
      </c>
      <c r="O82" s="843" t="s">
        <v>1278</v>
      </c>
      <c r="P82" s="844">
        <v>3</v>
      </c>
      <c r="Q82" s="844" t="s">
        <v>1895</v>
      </c>
      <c r="R82" s="845" t="s">
        <v>1896</v>
      </c>
      <c r="S82" s="844" t="s">
        <v>1897</v>
      </c>
      <c r="T82" s="845" t="s">
        <v>287</v>
      </c>
    </row>
    <row r="83" spans="8:20">
      <c r="H83" s="843" t="s">
        <v>1898</v>
      </c>
      <c r="I83" s="879"/>
      <c r="J83" s="883">
        <v>0</v>
      </c>
      <c r="K83" s="884"/>
      <c r="L83" s="838"/>
      <c r="M83" s="838">
        <v>140800000</v>
      </c>
      <c r="N83" s="850">
        <v>9.7500000000000003E-2</v>
      </c>
      <c r="O83" s="838"/>
      <c r="P83" s="838">
        <v>262200000</v>
      </c>
      <c r="Q83" s="851">
        <v>0.105</v>
      </c>
      <c r="R83" s="852" t="s">
        <v>1894</v>
      </c>
      <c r="S83" s="839">
        <f t="shared" ref="S83:T96" si="24">J83+M83+P83</f>
        <v>403000000</v>
      </c>
      <c r="T83" s="853" t="s">
        <v>1895</v>
      </c>
    </row>
    <row r="84" spans="8:20">
      <c r="H84" s="877">
        <v>42473</v>
      </c>
      <c r="I84" s="879"/>
      <c r="J84" s="883">
        <v>0</v>
      </c>
      <c r="K84" s="885">
        <f>ROUND(J83*0.11/365*30,0)</f>
        <v>0</v>
      </c>
      <c r="L84" s="838">
        <v>35800000</v>
      </c>
      <c r="M84" s="847">
        <f t="shared" ref="M84:M95" si="25">M83-L84</f>
        <v>105000000</v>
      </c>
      <c r="N84" s="843">
        <f>ROUND((M83*0.0975/365*11)+(M84*0.0975/365*19),0)</f>
        <v>946632</v>
      </c>
      <c r="O84" s="838">
        <v>11900000</v>
      </c>
      <c r="P84" s="847">
        <f t="shared" ref="P84:P95" si="26">P83-O84</f>
        <v>250300000</v>
      </c>
      <c r="Q84" s="847">
        <f>ROUND((P83*0.105/365*6)+(P84*0.105/365*24),0)</f>
        <v>2180663</v>
      </c>
      <c r="R84" s="856">
        <f t="shared" ref="R84:R95" si="27">I84+L84+O84</f>
        <v>47700000</v>
      </c>
      <c r="S84" s="839">
        <f t="shared" si="24"/>
        <v>355300000</v>
      </c>
      <c r="T84" s="857">
        <f>K84+N84+Q84</f>
        <v>3127295</v>
      </c>
    </row>
    <row r="85" spans="8:20">
      <c r="H85" s="877">
        <v>42503</v>
      </c>
      <c r="I85" s="879"/>
      <c r="J85" s="883">
        <v>0</v>
      </c>
      <c r="K85" s="880">
        <f>ROUND((J84*0.11/365*4)+(J85*0.115/365*27),0)</f>
        <v>0</v>
      </c>
      <c r="L85" s="838"/>
      <c r="M85" s="847">
        <f t="shared" si="25"/>
        <v>105000000</v>
      </c>
      <c r="N85" s="843">
        <f>ROUND((M84*0.0975/365*31),0)</f>
        <v>869486</v>
      </c>
      <c r="O85" s="838">
        <v>11900000</v>
      </c>
      <c r="P85" s="847">
        <f t="shared" si="26"/>
        <v>238400000</v>
      </c>
      <c r="Q85" s="847">
        <f>ROUND((P84*0.105/365*6)+(P85*0.105/365*25),0)</f>
        <v>2146545</v>
      </c>
      <c r="R85" s="856">
        <f t="shared" si="27"/>
        <v>11900000</v>
      </c>
      <c r="S85" s="839">
        <f t="shared" si="24"/>
        <v>343400000</v>
      </c>
      <c r="T85" s="857">
        <f t="shared" si="24"/>
        <v>3016031</v>
      </c>
    </row>
    <row r="86" spans="8:20">
      <c r="H86" s="877">
        <v>42534</v>
      </c>
      <c r="I86" s="878"/>
      <c r="J86" s="883">
        <v>0</v>
      </c>
      <c r="K86" s="880">
        <f>ROUND(J85*0.115/365*30,0)</f>
        <v>0</v>
      </c>
      <c r="L86" s="866"/>
      <c r="M86" s="847">
        <f t="shared" si="25"/>
        <v>105000000</v>
      </c>
      <c r="N86" s="843">
        <f>ROUND((M85*0.0975/365*30),0)</f>
        <v>841438</v>
      </c>
      <c r="O86" s="838">
        <v>11900000</v>
      </c>
      <c r="P86" s="847">
        <f t="shared" si="26"/>
        <v>226500000</v>
      </c>
      <c r="Q86" s="847">
        <f>ROUND((P85*0.105/365*6)+(P86*0.105/365*24),0)</f>
        <v>1975266</v>
      </c>
      <c r="R86" s="856">
        <f t="shared" si="27"/>
        <v>11900000</v>
      </c>
      <c r="S86" s="839">
        <f t="shared" si="24"/>
        <v>331500000</v>
      </c>
      <c r="T86" s="857">
        <f t="shared" si="24"/>
        <v>2816704</v>
      </c>
    </row>
    <row r="87" spans="8:20">
      <c r="H87" s="877">
        <v>42564</v>
      </c>
      <c r="I87" s="879"/>
      <c r="J87" s="883">
        <v>0</v>
      </c>
      <c r="K87" s="880">
        <f>ROUND((J86*0.115/365*24)+(J87*0.1225/365*7),0)</f>
        <v>0</v>
      </c>
      <c r="L87" s="838">
        <v>35800000</v>
      </c>
      <c r="M87" s="847">
        <f t="shared" si="25"/>
        <v>69200000</v>
      </c>
      <c r="N87" s="843">
        <f>ROUND((M86*0.0975/365*11)+(M87*0.0975/365*20),0)</f>
        <v>678226</v>
      </c>
      <c r="O87" s="838">
        <v>11900000</v>
      </c>
      <c r="P87" s="847">
        <f t="shared" si="26"/>
        <v>214600000</v>
      </c>
      <c r="Q87" s="847">
        <f>ROUND((P86*0.105/365*6)+(P87*0.105/365*25),0)</f>
        <v>1934301</v>
      </c>
      <c r="R87" s="856">
        <f t="shared" si="27"/>
        <v>47700000</v>
      </c>
      <c r="S87" s="839">
        <f t="shared" si="24"/>
        <v>283800000</v>
      </c>
      <c r="T87" s="857">
        <f t="shared" si="24"/>
        <v>2612527</v>
      </c>
    </row>
    <row r="88" spans="8:20">
      <c r="H88" s="877">
        <v>42595</v>
      </c>
      <c r="I88" s="879"/>
      <c r="J88" s="883">
        <v>0</v>
      </c>
      <c r="K88" s="880">
        <f>ROUND(J87*0.1225/365*31,0)</f>
        <v>0</v>
      </c>
      <c r="L88" s="843"/>
      <c r="M88" s="847">
        <f t="shared" si="25"/>
        <v>69200000</v>
      </c>
      <c r="N88" s="843">
        <f>ROUND((M87*0.0975/365*31),0)</f>
        <v>573033</v>
      </c>
      <c r="O88" s="838">
        <v>11900000</v>
      </c>
      <c r="P88" s="847">
        <f t="shared" si="26"/>
        <v>202700000</v>
      </c>
      <c r="Q88" s="847">
        <f>ROUND((P87*0.105/365*6)+(P88*0.105/365*25),0)</f>
        <v>1828179</v>
      </c>
      <c r="R88" s="856">
        <f t="shared" si="27"/>
        <v>11900000</v>
      </c>
      <c r="S88" s="839">
        <f t="shared" si="24"/>
        <v>271900000</v>
      </c>
      <c r="T88" s="857">
        <f t="shared" si="24"/>
        <v>2401212</v>
      </c>
    </row>
    <row r="89" spans="8:20">
      <c r="H89" s="877">
        <v>42626</v>
      </c>
      <c r="I89" s="878"/>
      <c r="J89" s="883">
        <v>0</v>
      </c>
      <c r="K89" s="880">
        <f>ROUND(J88*0.1225/365*30,0)</f>
        <v>0</v>
      </c>
      <c r="L89" s="866"/>
      <c r="M89" s="847">
        <f t="shared" si="25"/>
        <v>69200000</v>
      </c>
      <c r="N89" s="843">
        <f>ROUND((M88*0.0975/365*30),0)</f>
        <v>554548</v>
      </c>
      <c r="O89" s="838">
        <v>11900000</v>
      </c>
      <c r="P89" s="847">
        <f t="shared" si="26"/>
        <v>190800000</v>
      </c>
      <c r="Q89" s="847">
        <f>ROUND((P88*0.105/365*6)+(P89*0.105/365*24),0)</f>
        <v>1667170</v>
      </c>
      <c r="R89" s="856">
        <f t="shared" si="27"/>
        <v>11900000</v>
      </c>
      <c r="S89" s="839">
        <f t="shared" si="24"/>
        <v>260000000</v>
      </c>
      <c r="T89" s="857">
        <f t="shared" si="24"/>
        <v>2221718</v>
      </c>
    </row>
    <row r="90" spans="8:20">
      <c r="H90" s="877">
        <v>42656</v>
      </c>
      <c r="I90" s="879"/>
      <c r="J90" s="883">
        <v>0</v>
      </c>
      <c r="K90" s="880">
        <f>ROUND(J89*0.1225/365*31,0)</f>
        <v>0</v>
      </c>
      <c r="L90" s="838">
        <v>35800000</v>
      </c>
      <c r="M90" s="847">
        <f t="shared" si="25"/>
        <v>33400000</v>
      </c>
      <c r="N90" s="843">
        <f>ROUND((M89*0.0975/365*11)+(M90*0.0975/365*20),0)</f>
        <v>381773</v>
      </c>
      <c r="O90" s="838">
        <v>11900000</v>
      </c>
      <c r="P90" s="847">
        <f t="shared" si="26"/>
        <v>178900000</v>
      </c>
      <c r="Q90" s="847">
        <f>ROUND((P89*0.105/365*6)+(P90*0.105/365*25),0)</f>
        <v>1615936</v>
      </c>
      <c r="R90" s="856">
        <f t="shared" si="27"/>
        <v>47700000</v>
      </c>
      <c r="S90" s="839">
        <f t="shared" si="24"/>
        <v>212300000</v>
      </c>
      <c r="T90" s="857">
        <f t="shared" si="24"/>
        <v>1997709</v>
      </c>
    </row>
    <row r="91" spans="8:20">
      <c r="H91" s="877">
        <v>42687</v>
      </c>
      <c r="I91" s="878"/>
      <c r="J91" s="883">
        <v>0</v>
      </c>
      <c r="K91" s="880">
        <f>ROUND(J90*0.1225/365*30,0)</f>
        <v>0</v>
      </c>
      <c r="L91" s="866"/>
      <c r="M91" s="847">
        <f t="shared" si="25"/>
        <v>33400000</v>
      </c>
      <c r="N91" s="843">
        <f>ROUND((M90*0.0975/365*30),0)</f>
        <v>267658</v>
      </c>
      <c r="O91" s="838">
        <v>11900000</v>
      </c>
      <c r="P91" s="847">
        <f t="shared" si="26"/>
        <v>167000000</v>
      </c>
      <c r="Q91" s="847">
        <f>ROUND((P90*0.105/365*6)+(P91*0.105/365*24),0)</f>
        <v>1461773</v>
      </c>
      <c r="R91" s="856">
        <f t="shared" si="27"/>
        <v>11900000</v>
      </c>
      <c r="S91" s="839">
        <f t="shared" si="24"/>
        <v>200400000</v>
      </c>
      <c r="T91" s="857">
        <f t="shared" si="24"/>
        <v>1729431</v>
      </c>
    </row>
    <row r="92" spans="8:20">
      <c r="H92" s="877">
        <v>42717</v>
      </c>
      <c r="I92" s="879"/>
      <c r="J92" s="883">
        <v>0</v>
      </c>
      <c r="K92" s="880">
        <f>ROUND(J91*0.1225/365*31,0)</f>
        <v>0</v>
      </c>
      <c r="L92" s="843"/>
      <c r="M92" s="847">
        <f t="shared" si="25"/>
        <v>33400000</v>
      </c>
      <c r="N92" s="843">
        <f>ROUND((M91*0.0975/365*31),0)</f>
        <v>276579</v>
      </c>
      <c r="O92" s="838">
        <v>11900000</v>
      </c>
      <c r="P92" s="847">
        <f t="shared" si="26"/>
        <v>155100000</v>
      </c>
      <c r="Q92" s="847">
        <f>ROUND((P91*0.105/365*6)+(P92*0.105/365*25),0)</f>
        <v>1403692</v>
      </c>
      <c r="R92" s="856">
        <f t="shared" si="27"/>
        <v>11900000</v>
      </c>
      <c r="S92" s="839">
        <f t="shared" si="24"/>
        <v>188500000</v>
      </c>
      <c r="T92" s="857">
        <f t="shared" si="24"/>
        <v>1680271</v>
      </c>
    </row>
    <row r="93" spans="8:20">
      <c r="H93" s="877">
        <v>42748</v>
      </c>
      <c r="I93" s="879"/>
      <c r="J93" s="883">
        <v>0</v>
      </c>
      <c r="K93" s="880">
        <f>ROUND(J92*0.1225/365*31,0)</f>
        <v>0</v>
      </c>
      <c r="L93" s="838">
        <v>33400000</v>
      </c>
      <c r="M93" s="847">
        <f t="shared" si="25"/>
        <v>0</v>
      </c>
      <c r="N93" s="843">
        <f>ROUND((M92*0.0975/365*12),0)</f>
        <v>107063</v>
      </c>
      <c r="O93" s="838">
        <v>11900000</v>
      </c>
      <c r="P93" s="847">
        <f t="shared" si="26"/>
        <v>143200000</v>
      </c>
      <c r="Q93" s="847">
        <f>ROUND((P92*0.105/366*6)+(P93*0.105/366*25),0)</f>
        <v>1294025</v>
      </c>
      <c r="R93" s="856">
        <f t="shared" si="27"/>
        <v>45300000</v>
      </c>
      <c r="S93" s="839">
        <f t="shared" si="24"/>
        <v>143200000</v>
      </c>
      <c r="T93" s="857">
        <f t="shared" si="24"/>
        <v>1401088</v>
      </c>
    </row>
    <row r="94" spans="8:20">
      <c r="H94" s="877">
        <v>42779</v>
      </c>
      <c r="I94" s="878">
        <v>0</v>
      </c>
      <c r="J94" s="878">
        <f>J93-I94</f>
        <v>0</v>
      </c>
      <c r="K94" s="880">
        <f>ROUND((J93*0.1225/365*14),0)</f>
        <v>0</v>
      </c>
      <c r="L94" s="866"/>
      <c r="M94" s="847">
        <f t="shared" si="25"/>
        <v>0</v>
      </c>
      <c r="N94" s="843">
        <f>ROUND((M93*0.0975/366*29),0)</f>
        <v>0</v>
      </c>
      <c r="O94" s="838">
        <v>11900000</v>
      </c>
      <c r="P94" s="847">
        <f t="shared" si="26"/>
        <v>131300000</v>
      </c>
      <c r="Q94" s="847">
        <f>ROUND((P93*0.105/366*6)+(P94*0.105/366*23),0)</f>
        <v>1112857</v>
      </c>
      <c r="R94" s="856">
        <f t="shared" si="27"/>
        <v>11900000</v>
      </c>
      <c r="S94" s="839">
        <f t="shared" si="24"/>
        <v>131300000</v>
      </c>
      <c r="T94" s="857">
        <f t="shared" si="24"/>
        <v>1112857</v>
      </c>
    </row>
    <row r="95" spans="8:20">
      <c r="H95" s="877">
        <v>42807</v>
      </c>
      <c r="I95" s="879"/>
      <c r="J95" s="879">
        <f>J94-I95</f>
        <v>0</v>
      </c>
      <c r="K95" s="880">
        <f>ROUND(J94*0.1225/365*31,0)</f>
        <v>0</v>
      </c>
      <c r="L95" s="838"/>
      <c r="M95" s="847">
        <f t="shared" si="25"/>
        <v>0</v>
      </c>
      <c r="N95" s="843">
        <f>ROUND((M94*0.0975/366*31),0)</f>
        <v>0</v>
      </c>
      <c r="O95" s="838">
        <v>11900000</v>
      </c>
      <c r="P95" s="847">
        <f t="shared" si="26"/>
        <v>119400000</v>
      </c>
      <c r="Q95" s="847">
        <f>ROUND((P94*0.105/366*6)+(P95*0.105/366*25),0)</f>
        <v>1082361</v>
      </c>
      <c r="R95" s="856">
        <f t="shared" si="27"/>
        <v>11900000</v>
      </c>
      <c r="S95" s="839">
        <f t="shared" si="24"/>
        <v>119400000</v>
      </c>
      <c r="T95" s="857">
        <f t="shared" si="24"/>
        <v>1082361</v>
      </c>
    </row>
    <row r="96" spans="8:20">
      <c r="H96" s="866" t="s">
        <v>287</v>
      </c>
      <c r="I96" s="886">
        <f>SUM(I84:I95)</f>
        <v>0</v>
      </c>
      <c r="J96" s="879"/>
      <c r="K96" s="885">
        <f>SUM(K84:K95)</f>
        <v>0</v>
      </c>
      <c r="L96" s="866">
        <f>SUM(L83:L95)</f>
        <v>140800000</v>
      </c>
      <c r="M96" s="866"/>
      <c r="N96" s="866">
        <f>SUM(N84:N95)</f>
        <v>5496436</v>
      </c>
      <c r="O96" s="866">
        <f>SUM(O84:O95)</f>
        <v>142800000</v>
      </c>
      <c r="P96" s="866"/>
      <c r="Q96" s="866">
        <f>SUM(Q84:Q95)</f>
        <v>19702768</v>
      </c>
      <c r="R96" s="872">
        <f>SUM(R84:R95)</f>
        <v>283600000</v>
      </c>
      <c r="S96" s="873">
        <f>S83-R96</f>
        <v>119400000</v>
      </c>
      <c r="T96" s="857">
        <f t="shared" si="24"/>
        <v>25199204</v>
      </c>
    </row>
    <row r="97" spans="8:21" ht="18.75" customHeight="1">
      <c r="R97" s="856"/>
      <c r="T97" s="856"/>
    </row>
    <row r="98" spans="8:21">
      <c r="H98" s="838"/>
      <c r="I98" s="881" t="s">
        <v>1278</v>
      </c>
      <c r="J98" s="882">
        <v>1</v>
      </c>
      <c r="K98" s="882" t="s">
        <v>1895</v>
      </c>
      <c r="L98" s="881" t="s">
        <v>1278</v>
      </c>
      <c r="M98" s="882">
        <v>2</v>
      </c>
      <c r="N98" s="882" t="s">
        <v>1895</v>
      </c>
      <c r="O98" s="843" t="s">
        <v>1278</v>
      </c>
      <c r="P98" s="844">
        <v>3</v>
      </c>
      <c r="Q98" s="844" t="s">
        <v>1895</v>
      </c>
      <c r="R98" s="845" t="s">
        <v>1896</v>
      </c>
      <c r="S98" s="844" t="s">
        <v>1897</v>
      </c>
      <c r="T98" s="845" t="s">
        <v>287</v>
      </c>
    </row>
    <row r="99" spans="8:21">
      <c r="H99" s="843" t="s">
        <v>1898</v>
      </c>
      <c r="I99" s="879"/>
      <c r="J99" s="883">
        <v>0</v>
      </c>
      <c r="K99" s="884"/>
      <c r="L99" s="881"/>
      <c r="M99" s="881">
        <v>0</v>
      </c>
      <c r="N99" s="887">
        <v>0</v>
      </c>
      <c r="O99" s="838"/>
      <c r="P99" s="838">
        <v>119400000</v>
      </c>
      <c r="Q99" s="851">
        <v>0.105</v>
      </c>
      <c r="R99" s="852" t="s">
        <v>1894</v>
      </c>
      <c r="S99" s="839">
        <f t="shared" ref="S99:T112" si="28">J99+M99+P99</f>
        <v>119400000</v>
      </c>
      <c r="T99" s="853" t="s">
        <v>1895</v>
      </c>
    </row>
    <row r="100" spans="8:21">
      <c r="H100" s="877">
        <v>42838</v>
      </c>
      <c r="I100" s="879"/>
      <c r="J100" s="883">
        <v>0</v>
      </c>
      <c r="K100" s="885">
        <f>ROUND(J99*0.11/365*30,0)</f>
        <v>0</v>
      </c>
      <c r="L100" s="881">
        <v>0</v>
      </c>
      <c r="M100" s="879">
        <f t="shared" ref="M100:M111" si="29">M99-L100</f>
        <v>0</v>
      </c>
      <c r="N100" s="881">
        <f>ROUND((M99*0.0975/365*11)+(M100*0.0975/365*19),0)</f>
        <v>0</v>
      </c>
      <c r="O100" s="838">
        <v>11900000</v>
      </c>
      <c r="P100" s="847">
        <f t="shared" ref="P100:P111" si="30">P99-O100</f>
        <v>107500000</v>
      </c>
      <c r="Q100" s="847">
        <f>ROUND((P99*0.105/365*6)+(P100*0.105/365*24),0)</f>
        <v>948279</v>
      </c>
      <c r="R100" s="856">
        <f t="shared" ref="R100:R111" si="31">I100+L100+O100</f>
        <v>11900000</v>
      </c>
      <c r="S100" s="839">
        <f t="shared" si="28"/>
        <v>107500000</v>
      </c>
      <c r="T100" s="857">
        <f>K100+N100+Q100</f>
        <v>948279</v>
      </c>
    </row>
    <row r="101" spans="8:21">
      <c r="H101" s="877">
        <v>42868</v>
      </c>
      <c r="I101" s="879"/>
      <c r="J101" s="883">
        <v>0</v>
      </c>
      <c r="K101" s="880">
        <f>ROUND((J100*0.11/365*4)+(J101*0.115/365*27),0)</f>
        <v>0</v>
      </c>
      <c r="L101" s="881"/>
      <c r="M101" s="879">
        <f t="shared" si="29"/>
        <v>0</v>
      </c>
      <c r="N101" s="881">
        <f>ROUND((M100*0.0975/365*31),0)</f>
        <v>0</v>
      </c>
      <c r="O101" s="838">
        <v>11900000</v>
      </c>
      <c r="P101" s="847">
        <f t="shared" si="30"/>
        <v>95600000</v>
      </c>
      <c r="Q101" s="847">
        <f>ROUND((P100*0.105/365*6)+(P101*0.105/365*25),0)</f>
        <v>873082</v>
      </c>
      <c r="R101" s="856">
        <f t="shared" si="31"/>
        <v>11900000</v>
      </c>
      <c r="S101" s="839">
        <f t="shared" si="28"/>
        <v>95600000</v>
      </c>
      <c r="T101" s="857">
        <f t="shared" si="28"/>
        <v>873082</v>
      </c>
    </row>
    <row r="102" spans="8:21">
      <c r="H102" s="877">
        <v>42899</v>
      </c>
      <c r="I102" s="878"/>
      <c r="J102" s="883">
        <v>0</v>
      </c>
      <c r="K102" s="880">
        <f>ROUND(J101*0.115/365*30,0)</f>
        <v>0</v>
      </c>
      <c r="L102" s="886"/>
      <c r="M102" s="879">
        <f t="shared" si="29"/>
        <v>0</v>
      </c>
      <c r="N102" s="881">
        <f>ROUND((M101*0.0975/365*30),0)</f>
        <v>0</v>
      </c>
      <c r="O102" s="838">
        <v>11900000</v>
      </c>
      <c r="P102" s="847">
        <f t="shared" si="30"/>
        <v>83700000</v>
      </c>
      <c r="Q102" s="847">
        <f>ROUND((P101*0.105/365*6)+(P102*0.105/365*24),0)</f>
        <v>742882</v>
      </c>
      <c r="R102" s="856">
        <f t="shared" si="31"/>
        <v>11900000</v>
      </c>
      <c r="S102" s="839">
        <f t="shared" si="28"/>
        <v>83700000</v>
      </c>
      <c r="T102" s="857">
        <f t="shared" si="28"/>
        <v>742882</v>
      </c>
    </row>
    <row r="103" spans="8:21">
      <c r="H103" s="877">
        <v>42929</v>
      </c>
      <c r="I103" s="879"/>
      <c r="J103" s="883">
        <v>0</v>
      </c>
      <c r="K103" s="880">
        <f>ROUND((J102*0.115/365*24)+(J103*0.1225/365*7),0)</f>
        <v>0</v>
      </c>
      <c r="L103" s="881">
        <v>0</v>
      </c>
      <c r="M103" s="879">
        <f t="shared" si="29"/>
        <v>0</v>
      </c>
      <c r="N103" s="881">
        <f>ROUND((M102*0.0975/365*11)+(M103*0.0975/365*20),0)</f>
        <v>0</v>
      </c>
      <c r="O103" s="838">
        <v>11900000</v>
      </c>
      <c r="P103" s="847">
        <f t="shared" si="30"/>
        <v>71800000</v>
      </c>
      <c r="Q103" s="847">
        <f>ROUND((P102*0.105/365*6)+(P103*0.105/365*25),0)</f>
        <v>660838</v>
      </c>
      <c r="R103" s="856">
        <f t="shared" si="31"/>
        <v>11900000</v>
      </c>
      <c r="S103" s="839">
        <f t="shared" si="28"/>
        <v>71800000</v>
      </c>
      <c r="T103" s="857">
        <f t="shared" si="28"/>
        <v>660838</v>
      </c>
    </row>
    <row r="104" spans="8:21">
      <c r="H104" s="877">
        <v>42960</v>
      </c>
      <c r="I104" s="879"/>
      <c r="J104" s="883">
        <v>0</v>
      </c>
      <c r="K104" s="880">
        <f>ROUND(J103*0.1225/365*31,0)</f>
        <v>0</v>
      </c>
      <c r="L104" s="881"/>
      <c r="M104" s="879">
        <f t="shared" si="29"/>
        <v>0</v>
      </c>
      <c r="N104" s="881">
        <f>ROUND((M103*0.0975/365*31),0)</f>
        <v>0</v>
      </c>
      <c r="O104" s="838">
        <v>11900000</v>
      </c>
      <c r="P104" s="847">
        <f t="shared" si="30"/>
        <v>59900000</v>
      </c>
      <c r="Q104" s="847">
        <f>ROUND((P103*0.105/365*6)+(P104*0.105/365*25),0)</f>
        <v>554716</v>
      </c>
      <c r="R104" s="856">
        <f t="shared" si="31"/>
        <v>11900000</v>
      </c>
      <c r="S104" s="839">
        <f t="shared" si="28"/>
        <v>59900000</v>
      </c>
      <c r="T104" s="857">
        <f t="shared" si="28"/>
        <v>554716</v>
      </c>
    </row>
    <row r="105" spans="8:21">
      <c r="H105" s="877">
        <v>42991</v>
      </c>
      <c r="I105" s="878"/>
      <c r="J105" s="883">
        <v>0</v>
      </c>
      <c r="K105" s="880">
        <f>ROUND(J104*0.1225/365*30,0)</f>
        <v>0</v>
      </c>
      <c r="L105" s="886"/>
      <c r="M105" s="879">
        <f t="shared" si="29"/>
        <v>0</v>
      </c>
      <c r="N105" s="881">
        <f>ROUND((M104*0.0975/365*30),0)</f>
        <v>0</v>
      </c>
      <c r="O105" s="838">
        <v>11900000</v>
      </c>
      <c r="P105" s="847">
        <f t="shared" si="30"/>
        <v>48000000</v>
      </c>
      <c r="Q105" s="847">
        <f>ROUND((P104*0.105/365*6)+(P105*0.105/365*24),0)</f>
        <v>434786</v>
      </c>
      <c r="R105" s="856">
        <f t="shared" si="31"/>
        <v>11900000</v>
      </c>
      <c r="S105" s="839">
        <f t="shared" si="28"/>
        <v>48000000</v>
      </c>
      <c r="T105" s="857">
        <f t="shared" si="28"/>
        <v>434786</v>
      </c>
    </row>
    <row r="106" spans="8:21">
      <c r="H106" s="877">
        <v>43021</v>
      </c>
      <c r="I106" s="879"/>
      <c r="J106" s="883">
        <v>0</v>
      </c>
      <c r="K106" s="880">
        <f>ROUND(J105*0.1225/365*31,0)</f>
        <v>0</v>
      </c>
      <c r="L106" s="881">
        <v>0</v>
      </c>
      <c r="M106" s="879">
        <f t="shared" si="29"/>
        <v>0</v>
      </c>
      <c r="N106" s="881">
        <f>ROUND((M105*0.0975/365*11)+(M106*0.0975/365*20),0)</f>
        <v>0</v>
      </c>
      <c r="O106" s="838">
        <v>11900000</v>
      </c>
      <c r="P106" s="847">
        <f t="shared" si="30"/>
        <v>36100000</v>
      </c>
      <c r="Q106" s="847">
        <f>ROUND((P105*0.105/365*6)+(P106*0.105/365*25),0)</f>
        <v>342473</v>
      </c>
      <c r="R106" s="856">
        <f t="shared" si="31"/>
        <v>11900000</v>
      </c>
      <c r="S106" s="839">
        <f t="shared" si="28"/>
        <v>36100000</v>
      </c>
      <c r="T106" s="857">
        <f t="shared" si="28"/>
        <v>342473</v>
      </c>
    </row>
    <row r="107" spans="8:21">
      <c r="H107" s="877">
        <v>43052</v>
      </c>
      <c r="I107" s="878"/>
      <c r="J107" s="883">
        <v>0</v>
      </c>
      <c r="K107" s="880">
        <f>ROUND(J106*0.1225/365*30,0)</f>
        <v>0</v>
      </c>
      <c r="L107" s="886"/>
      <c r="M107" s="879">
        <f t="shared" si="29"/>
        <v>0</v>
      </c>
      <c r="N107" s="881">
        <f>ROUND((M106*0.0975/365*30),0)</f>
        <v>0</v>
      </c>
      <c r="O107" s="838">
        <v>11900000</v>
      </c>
      <c r="P107" s="847">
        <f t="shared" si="30"/>
        <v>24200000</v>
      </c>
      <c r="Q107" s="847">
        <f>ROUND((P106*0.105/365*6)+(P107*0.105/365*24),0)</f>
        <v>229389</v>
      </c>
      <c r="R107" s="856">
        <f t="shared" si="31"/>
        <v>11900000</v>
      </c>
      <c r="S107" s="839">
        <f t="shared" si="28"/>
        <v>24200000</v>
      </c>
      <c r="T107" s="857">
        <f t="shared" si="28"/>
        <v>229389</v>
      </c>
    </row>
    <row r="108" spans="8:21">
      <c r="H108" s="877">
        <v>43082</v>
      </c>
      <c r="I108" s="879"/>
      <c r="J108" s="883">
        <v>0</v>
      </c>
      <c r="K108" s="880">
        <f>ROUND(J107*0.1225/365*31,0)</f>
        <v>0</v>
      </c>
      <c r="L108" s="881"/>
      <c r="M108" s="879">
        <f t="shared" si="29"/>
        <v>0</v>
      </c>
      <c r="N108" s="881">
        <f>ROUND((M107*0.0975/365*31),0)</f>
        <v>0</v>
      </c>
      <c r="O108" s="838">
        <v>11900000</v>
      </c>
      <c r="P108" s="847">
        <f t="shared" si="30"/>
        <v>12300000</v>
      </c>
      <c r="Q108" s="847">
        <f>ROUND((P107*0.105/365*6)+(P108*0.105/365*25),0)</f>
        <v>130229</v>
      </c>
      <c r="R108" s="856">
        <f t="shared" si="31"/>
        <v>11900000</v>
      </c>
      <c r="S108" s="839">
        <f t="shared" si="28"/>
        <v>12300000</v>
      </c>
      <c r="T108" s="857">
        <f t="shared" si="28"/>
        <v>130229</v>
      </c>
    </row>
    <row r="109" spans="8:21">
      <c r="H109" s="877">
        <v>43113</v>
      </c>
      <c r="I109" s="879"/>
      <c r="J109" s="883">
        <v>0</v>
      </c>
      <c r="K109" s="880">
        <f>ROUND(J108*0.1225/365*31,0)</f>
        <v>0</v>
      </c>
      <c r="L109" s="881">
        <v>0</v>
      </c>
      <c r="M109" s="879">
        <f t="shared" si="29"/>
        <v>0</v>
      </c>
      <c r="N109" s="881">
        <f>ROUND((M108*0.0975/365*12),0)</f>
        <v>0</v>
      </c>
      <c r="O109" s="838">
        <v>12300000</v>
      </c>
      <c r="P109" s="847">
        <f t="shared" si="30"/>
        <v>0</v>
      </c>
      <c r="Q109" s="847">
        <f>ROUND((P108*0.105/366*6)+(P109*0.105/366*25),0)</f>
        <v>21172</v>
      </c>
      <c r="R109" s="856">
        <f t="shared" si="31"/>
        <v>12300000</v>
      </c>
      <c r="S109" s="839">
        <f t="shared" si="28"/>
        <v>0</v>
      </c>
      <c r="T109" s="857">
        <f t="shared" si="28"/>
        <v>21172</v>
      </c>
    </row>
    <row r="110" spans="8:21" s="892" customFormat="1" ht="12.75" customHeight="1">
      <c r="H110" s="888"/>
      <c r="I110" s="878">
        <v>0</v>
      </c>
      <c r="J110" s="878">
        <f>J109-I110</f>
        <v>0</v>
      </c>
      <c r="K110" s="880">
        <f>ROUND((J109*0.1225/365*14),0)</f>
        <v>0</v>
      </c>
      <c r="L110" s="886"/>
      <c r="M110" s="879">
        <f t="shared" si="29"/>
        <v>0</v>
      </c>
      <c r="N110" s="881">
        <f>ROUND((M109*0.0975/366*29),0)</f>
        <v>0</v>
      </c>
      <c r="O110" s="881">
        <v>0</v>
      </c>
      <c r="P110" s="878">
        <f t="shared" si="30"/>
        <v>0</v>
      </c>
      <c r="Q110" s="879">
        <f>ROUND((P109*0.105/366*6)+(P110*0.105/366*23),0)</f>
        <v>0</v>
      </c>
      <c r="R110" s="889">
        <f t="shared" si="31"/>
        <v>0</v>
      </c>
      <c r="S110" s="882">
        <f t="shared" si="28"/>
        <v>0</v>
      </c>
      <c r="T110" s="890">
        <f t="shared" si="28"/>
        <v>0</v>
      </c>
      <c r="U110" s="891"/>
    </row>
    <row r="111" spans="8:21" s="892" customFormat="1" ht="11.25" customHeight="1">
      <c r="H111" s="888"/>
      <c r="I111" s="879"/>
      <c r="J111" s="879">
        <f>J110-I111</f>
        <v>0</v>
      </c>
      <c r="K111" s="880">
        <f>ROUND(J110*0.1225/365*31,0)</f>
        <v>0</v>
      </c>
      <c r="L111" s="881"/>
      <c r="M111" s="879">
        <f t="shared" si="29"/>
        <v>0</v>
      </c>
      <c r="N111" s="881">
        <f>ROUND((M110*0.0975/366*31),0)</f>
        <v>0</v>
      </c>
      <c r="O111" s="881">
        <v>0</v>
      </c>
      <c r="P111" s="879">
        <f t="shared" si="30"/>
        <v>0</v>
      </c>
      <c r="Q111" s="879">
        <f>ROUND((P110*0.105/366*6)+(P111*0.105/366*25),0)</f>
        <v>0</v>
      </c>
      <c r="R111" s="889">
        <f t="shared" si="31"/>
        <v>0</v>
      </c>
      <c r="S111" s="882">
        <f t="shared" si="28"/>
        <v>0</v>
      </c>
      <c r="T111" s="890">
        <f t="shared" si="28"/>
        <v>0</v>
      </c>
      <c r="U111" s="891"/>
    </row>
    <row r="112" spans="8:21">
      <c r="H112" s="866" t="s">
        <v>287</v>
      </c>
      <c r="I112" s="886">
        <f>SUM(I100:I111)</f>
        <v>0</v>
      </c>
      <c r="J112" s="879"/>
      <c r="K112" s="885">
        <f>SUM(K100:K111)</f>
        <v>0</v>
      </c>
      <c r="L112" s="886">
        <f>SUM(L99:L111)</f>
        <v>0</v>
      </c>
      <c r="M112" s="886"/>
      <c r="N112" s="886">
        <f>SUM(N100:N111)</f>
        <v>0</v>
      </c>
      <c r="O112" s="866">
        <f>SUM(O100:O111)</f>
        <v>119400000</v>
      </c>
      <c r="P112" s="866"/>
      <c r="Q112" s="866">
        <f>SUM(Q100:Q111)</f>
        <v>4937846</v>
      </c>
      <c r="R112" s="872">
        <f>SUM(R100:R111)</f>
        <v>119400000</v>
      </c>
      <c r="S112" s="873">
        <f>S99-R112</f>
        <v>0</v>
      </c>
      <c r="T112" s="893">
        <f t="shared" si="28"/>
        <v>4937846</v>
      </c>
    </row>
    <row r="113" spans="17:19">
      <c r="R113" s="894"/>
    </row>
    <row r="114" spans="17:19" ht="15">
      <c r="Q114" s="868" t="s">
        <v>1927</v>
      </c>
      <c r="R114" s="2680">
        <f>R16+R32+R48+R64+R80+R96+R112</f>
        <v>2690142856</v>
      </c>
      <c r="S114" s="2680"/>
    </row>
  </sheetData>
  <mergeCells count="1">
    <mergeCell ref="R114:S114"/>
  </mergeCells>
  <printOptions gridLines="1"/>
  <pageMargins left="0.20866141699999999" right="0.20866141699999999" top="1.2480314960000001" bottom="1.2480314960000001" header="0.31496062992126" footer="0.31496062992126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T118"/>
  <sheetViews>
    <sheetView workbookViewId="0">
      <pane xSplit="4" ySplit="3" topLeftCell="H4" activePane="bottomRight" state="frozen"/>
      <selection pane="topRight" activeCell="C1" sqref="C1"/>
      <selection pane="bottomLeft" activeCell="A4" sqref="A4"/>
      <selection pane="bottomRight" activeCell="M106" sqref="M106"/>
    </sheetView>
  </sheetViews>
  <sheetFormatPr defaultColWidth="15.85546875" defaultRowHeight="21.95" customHeight="1"/>
  <cols>
    <col min="1" max="1" width="8.140625" style="993" customWidth="1"/>
    <col min="2" max="2" width="8.7109375" style="994" customWidth="1"/>
    <col min="3" max="3" width="14.85546875" style="995" hidden="1" customWidth="1"/>
    <col min="4" max="4" width="11" style="993" hidden="1" customWidth="1"/>
    <col min="5" max="5" width="14.140625" style="993" hidden="1" customWidth="1"/>
    <col min="6" max="6" width="9.7109375" style="993" hidden="1" customWidth="1"/>
    <col min="7" max="7" width="8.42578125" style="993" hidden="1" customWidth="1"/>
    <col min="8" max="8" width="16.140625" style="996" customWidth="1"/>
    <col min="9" max="9" width="15.85546875" style="996" customWidth="1"/>
    <col min="10" max="10" width="17.140625" style="996" customWidth="1"/>
    <col min="11" max="11" width="17.85546875" style="996" customWidth="1"/>
    <col min="12" max="12" width="15.85546875" style="997" customWidth="1"/>
    <col min="13" max="13" width="17.85546875" style="998" customWidth="1"/>
    <col min="14" max="14" width="17.85546875" style="996" customWidth="1"/>
    <col min="15" max="15" width="17.85546875" style="999" customWidth="1"/>
    <col min="16" max="17" width="15.7109375" style="999" customWidth="1"/>
    <col min="18" max="18" width="17.140625" style="1000" customWidth="1"/>
    <col min="19" max="19" width="12.140625" style="994" customWidth="1"/>
    <col min="20" max="20" width="10.42578125" style="996" customWidth="1"/>
    <col min="21" max="16384" width="15.85546875" style="996"/>
  </cols>
  <sheetData>
    <row r="1" spans="1:20" ht="21.95" customHeight="1">
      <c r="F1" s="993" t="s">
        <v>2069</v>
      </c>
    </row>
    <row r="2" spans="1:20" s="1007" customFormat="1" ht="39.75" customHeight="1">
      <c r="A2" s="995" t="s">
        <v>389</v>
      </c>
      <c r="B2" s="1001" t="s">
        <v>2070</v>
      </c>
      <c r="C2" s="1002" t="s">
        <v>2071</v>
      </c>
      <c r="D2" s="1002" t="s">
        <v>2072</v>
      </c>
      <c r="E2" s="1002" t="s">
        <v>2073</v>
      </c>
      <c r="F2" s="1002" t="s">
        <v>2074</v>
      </c>
      <c r="G2" s="1002" t="s">
        <v>2075</v>
      </c>
      <c r="H2" s="1003" t="s">
        <v>2076</v>
      </c>
      <c r="I2" s="1003" t="s">
        <v>2077</v>
      </c>
      <c r="J2" s="1003" t="s">
        <v>2078</v>
      </c>
      <c r="K2" s="1003" t="s">
        <v>2079</v>
      </c>
      <c r="L2" s="1004" t="s">
        <v>2080</v>
      </c>
      <c r="M2" s="1005" t="s">
        <v>2081</v>
      </c>
      <c r="N2" s="1003" t="s">
        <v>2082</v>
      </c>
      <c r="O2" s="1006" t="s">
        <v>1819</v>
      </c>
      <c r="P2" s="1007" t="s">
        <v>2083</v>
      </c>
      <c r="Q2" s="1007" t="s">
        <v>2084</v>
      </c>
      <c r="R2" s="1007" t="s">
        <v>2085</v>
      </c>
      <c r="S2" s="1001" t="s">
        <v>2086</v>
      </c>
      <c r="T2" s="1003" t="s">
        <v>2087</v>
      </c>
    </row>
    <row r="3" spans="1:20" s="1007" customFormat="1" ht="30" customHeight="1">
      <c r="A3" s="995"/>
      <c r="B3" s="1001"/>
      <c r="C3" s="1002"/>
      <c r="D3" s="1002"/>
      <c r="E3" s="1002"/>
      <c r="F3" s="1002"/>
      <c r="G3" s="1002"/>
      <c r="H3" s="1003"/>
      <c r="I3" s="1003"/>
      <c r="J3" s="1003"/>
      <c r="K3" s="1003"/>
      <c r="L3" s="1004"/>
      <c r="M3" s="1005" t="s">
        <v>2088</v>
      </c>
      <c r="N3" s="1003"/>
      <c r="O3" s="1006"/>
      <c r="P3" s="1006"/>
      <c r="Q3" s="1006"/>
      <c r="S3" s="1001"/>
      <c r="T3" s="1003"/>
    </row>
    <row r="4" spans="1:20" ht="34.5" customHeight="1">
      <c r="A4" s="993">
        <v>1</v>
      </c>
      <c r="B4" s="1008">
        <v>161373</v>
      </c>
      <c r="C4" s="1002" t="s">
        <v>2089</v>
      </c>
      <c r="D4" s="1009" t="s">
        <v>2090</v>
      </c>
      <c r="E4" s="1009" t="s">
        <v>2091</v>
      </c>
      <c r="F4" s="1009">
        <v>156</v>
      </c>
      <c r="G4" s="1009">
        <v>36</v>
      </c>
      <c r="H4" s="1010">
        <v>1494251000</v>
      </c>
      <c r="I4" s="1011" t="s">
        <v>2092</v>
      </c>
      <c r="J4" s="1011">
        <v>149425100</v>
      </c>
      <c r="K4" s="1011">
        <v>149425100</v>
      </c>
      <c r="L4" s="1009">
        <v>14942510</v>
      </c>
      <c r="M4" s="1012"/>
      <c r="N4" s="1011">
        <v>14942510</v>
      </c>
      <c r="O4" s="1013">
        <f>J4-N4</f>
        <v>134482590</v>
      </c>
      <c r="P4" s="1014"/>
      <c r="Q4" s="1014"/>
      <c r="R4" s="1000">
        <f>O4-P4+Q4</f>
        <v>134482590</v>
      </c>
      <c r="S4" s="1015" t="s">
        <v>2093</v>
      </c>
      <c r="T4" s="1016">
        <v>11</v>
      </c>
    </row>
    <row r="5" spans="1:20" ht="21.95" customHeight="1">
      <c r="B5" s="1017">
        <v>161373</v>
      </c>
      <c r="C5" s="1002"/>
      <c r="D5" s="1009" t="s">
        <v>2090</v>
      </c>
      <c r="E5" s="1009" t="s">
        <v>2091</v>
      </c>
      <c r="F5" s="1009">
        <v>156</v>
      </c>
      <c r="G5" s="1009">
        <v>36</v>
      </c>
      <c r="H5" s="1010"/>
      <c r="I5" s="1011" t="s">
        <v>2094</v>
      </c>
      <c r="J5" s="1011">
        <v>28717000</v>
      </c>
      <c r="K5" s="1011">
        <v>28717000</v>
      </c>
      <c r="L5" s="1009">
        <v>2871700</v>
      </c>
      <c r="M5" s="1012"/>
      <c r="N5" s="1011">
        <v>2871700</v>
      </c>
      <c r="O5" s="1013">
        <f t="shared" ref="O5:O24" si="0">J5-N5</f>
        <v>25845300</v>
      </c>
      <c r="P5" s="1014"/>
      <c r="Q5" s="1014"/>
      <c r="R5" s="1000">
        <f t="shared" ref="R5:R68" si="1">O5-P5+Q5</f>
        <v>25845300</v>
      </c>
      <c r="S5" s="1015" t="s">
        <v>2093</v>
      </c>
      <c r="T5" s="1016">
        <v>11</v>
      </c>
    </row>
    <row r="6" spans="1:20" ht="21.95" customHeight="1">
      <c r="B6" s="1017">
        <v>161373</v>
      </c>
      <c r="C6" s="1002"/>
      <c r="D6" s="1009" t="s">
        <v>2090</v>
      </c>
      <c r="E6" s="1009" t="s">
        <v>2091</v>
      </c>
      <c r="F6" s="1009">
        <v>156</v>
      </c>
      <c r="G6" s="1009">
        <v>36</v>
      </c>
      <c r="H6" s="1010"/>
      <c r="I6" s="1011" t="s">
        <v>2095</v>
      </c>
      <c r="J6" s="1011">
        <v>53786000</v>
      </c>
      <c r="K6" s="1011">
        <v>53786000</v>
      </c>
      <c r="L6" s="1009">
        <v>5378600</v>
      </c>
      <c r="M6" s="1012"/>
      <c r="N6" s="1011">
        <v>5378600</v>
      </c>
      <c r="O6" s="1013">
        <f t="shared" si="0"/>
        <v>48407400</v>
      </c>
      <c r="P6" s="1014"/>
      <c r="Q6" s="1014"/>
      <c r="R6" s="1000">
        <f t="shared" si="1"/>
        <v>48407400</v>
      </c>
      <c r="S6" s="1015" t="s">
        <v>2093</v>
      </c>
      <c r="T6" s="1016">
        <v>11</v>
      </c>
    </row>
    <row r="7" spans="1:20" ht="21.95" customHeight="1">
      <c r="B7" s="1017">
        <v>161373</v>
      </c>
      <c r="C7" s="1002"/>
      <c r="D7" s="1009" t="s">
        <v>2090</v>
      </c>
      <c r="E7" s="1009" t="s">
        <v>2091</v>
      </c>
      <c r="F7" s="1009">
        <v>156</v>
      </c>
      <c r="G7" s="1009">
        <v>36</v>
      </c>
      <c r="H7" s="1010"/>
      <c r="I7" s="1011" t="s">
        <v>2095</v>
      </c>
      <c r="J7" s="1011">
        <v>59423000</v>
      </c>
      <c r="K7" s="1011">
        <v>59423000</v>
      </c>
      <c r="L7" s="1009">
        <v>5942300</v>
      </c>
      <c r="M7" s="1012"/>
      <c r="N7" s="1011">
        <v>5942300</v>
      </c>
      <c r="O7" s="1013">
        <f t="shared" si="0"/>
        <v>53480700</v>
      </c>
      <c r="P7" s="1014"/>
      <c r="Q7" s="1014"/>
      <c r="R7" s="1000">
        <f t="shared" si="1"/>
        <v>53480700</v>
      </c>
      <c r="S7" s="1015" t="s">
        <v>2093</v>
      </c>
      <c r="T7" s="1016">
        <v>11</v>
      </c>
    </row>
    <row r="8" spans="1:20" ht="21.95" customHeight="1">
      <c r="B8" s="1017">
        <v>161373</v>
      </c>
      <c r="C8" s="1002"/>
      <c r="D8" s="1009" t="s">
        <v>2090</v>
      </c>
      <c r="E8" s="1009" t="s">
        <v>2091</v>
      </c>
      <c r="F8" s="1009">
        <v>156</v>
      </c>
      <c r="G8" s="1009">
        <v>36</v>
      </c>
      <c r="H8" s="1010"/>
      <c r="I8" s="1011" t="s">
        <v>2096</v>
      </c>
      <c r="J8" s="1011">
        <v>19290000</v>
      </c>
      <c r="K8" s="1011">
        <v>19290000</v>
      </c>
      <c r="L8" s="1009">
        <v>1929000</v>
      </c>
      <c r="M8" s="1012"/>
      <c r="N8" s="1011">
        <v>1929000</v>
      </c>
      <c r="O8" s="1013">
        <f t="shared" si="0"/>
        <v>17361000</v>
      </c>
      <c r="P8" s="1014"/>
      <c r="Q8" s="1014"/>
      <c r="R8" s="1000">
        <f t="shared" si="1"/>
        <v>17361000</v>
      </c>
      <c r="S8" s="1015" t="s">
        <v>2093</v>
      </c>
      <c r="T8" s="1016">
        <v>11</v>
      </c>
    </row>
    <row r="9" spans="1:20" ht="21.95" customHeight="1">
      <c r="B9" s="1017">
        <v>161373</v>
      </c>
      <c r="C9" s="1002"/>
      <c r="D9" s="1009" t="s">
        <v>2090</v>
      </c>
      <c r="E9" s="1009" t="s">
        <v>2091</v>
      </c>
      <c r="F9" s="1009">
        <v>156</v>
      </c>
      <c r="G9" s="1009">
        <v>36</v>
      </c>
      <c r="H9" s="1010"/>
      <c r="I9" s="1011" t="s">
        <v>2097</v>
      </c>
      <c r="J9" s="1011">
        <v>26890000</v>
      </c>
      <c r="K9" s="1011">
        <v>26890000</v>
      </c>
      <c r="L9" s="1009">
        <v>2689000</v>
      </c>
      <c r="M9" s="1012"/>
      <c r="N9" s="1011">
        <v>2689000</v>
      </c>
      <c r="O9" s="1013">
        <f t="shared" si="0"/>
        <v>24201000</v>
      </c>
      <c r="P9" s="1014"/>
      <c r="Q9" s="1014"/>
      <c r="R9" s="1000">
        <f t="shared" si="1"/>
        <v>24201000</v>
      </c>
      <c r="S9" s="1015" t="s">
        <v>2093</v>
      </c>
      <c r="T9" s="1016">
        <v>11</v>
      </c>
    </row>
    <row r="10" spans="1:20" ht="21.95" customHeight="1">
      <c r="B10" s="1017">
        <v>161373</v>
      </c>
      <c r="C10" s="1002"/>
      <c r="D10" s="1009" t="s">
        <v>2090</v>
      </c>
      <c r="E10" s="1009" t="s">
        <v>2091</v>
      </c>
      <c r="F10" s="1009">
        <v>156</v>
      </c>
      <c r="G10" s="1009">
        <v>36</v>
      </c>
      <c r="H10" s="1010"/>
      <c r="I10" s="1011" t="s">
        <v>2098</v>
      </c>
      <c r="J10" s="1011">
        <v>26495800</v>
      </c>
      <c r="K10" s="1011">
        <v>26495800</v>
      </c>
      <c r="L10" s="1009">
        <v>2649580</v>
      </c>
      <c r="M10" s="1012"/>
      <c r="N10" s="1011">
        <v>2649580</v>
      </c>
      <c r="O10" s="1013">
        <f t="shared" si="0"/>
        <v>23846220</v>
      </c>
      <c r="P10" s="1014"/>
      <c r="Q10" s="1014"/>
      <c r="R10" s="1000">
        <f t="shared" si="1"/>
        <v>23846220</v>
      </c>
      <c r="S10" s="1015" t="s">
        <v>2093</v>
      </c>
      <c r="T10" s="1016">
        <v>11</v>
      </c>
    </row>
    <row r="11" spans="1:20" ht="21.95" customHeight="1">
      <c r="B11" s="1017">
        <v>161373</v>
      </c>
      <c r="C11" s="1002"/>
      <c r="D11" s="1009" t="s">
        <v>2090</v>
      </c>
      <c r="E11" s="1009" t="s">
        <v>2091</v>
      </c>
      <c r="F11" s="1009">
        <v>156</v>
      </c>
      <c r="G11" s="1009">
        <v>36</v>
      </c>
      <c r="H11" s="1010"/>
      <c r="I11" s="1011" t="s">
        <v>2099</v>
      </c>
      <c r="J11" s="1011">
        <v>55080000</v>
      </c>
      <c r="K11" s="1011">
        <v>55080000</v>
      </c>
      <c r="L11" s="1009">
        <v>5508000</v>
      </c>
      <c r="M11" s="1012"/>
      <c r="N11" s="1011">
        <v>5508000</v>
      </c>
      <c r="O11" s="1013">
        <f t="shared" si="0"/>
        <v>49572000</v>
      </c>
      <c r="P11" s="1014"/>
      <c r="Q11" s="1014"/>
      <c r="R11" s="1000">
        <f t="shared" si="1"/>
        <v>49572000</v>
      </c>
      <c r="S11" s="1015" t="s">
        <v>2093</v>
      </c>
      <c r="T11" s="1016">
        <v>11</v>
      </c>
    </row>
    <row r="12" spans="1:20" ht="21.95" customHeight="1">
      <c r="B12" s="1017">
        <v>161373</v>
      </c>
      <c r="C12" s="1002"/>
      <c r="D12" s="1009" t="s">
        <v>2090</v>
      </c>
      <c r="E12" s="1009" t="s">
        <v>2091</v>
      </c>
      <c r="F12" s="1009">
        <v>156</v>
      </c>
      <c r="G12" s="1009">
        <v>36</v>
      </c>
      <c r="H12" s="1010"/>
      <c r="I12" s="1011" t="s">
        <v>2100</v>
      </c>
      <c r="J12" s="1011">
        <v>26258400</v>
      </c>
      <c r="K12" s="1011">
        <v>26258400</v>
      </c>
      <c r="L12" s="1009">
        <v>2625840</v>
      </c>
      <c r="M12" s="1012"/>
      <c r="N12" s="1011">
        <v>2625840</v>
      </c>
      <c r="O12" s="1013">
        <f t="shared" si="0"/>
        <v>23632560</v>
      </c>
      <c r="P12" s="1014"/>
      <c r="Q12" s="1014"/>
      <c r="R12" s="1000">
        <f t="shared" si="1"/>
        <v>23632560</v>
      </c>
      <c r="S12" s="1015" t="s">
        <v>2093</v>
      </c>
      <c r="T12" s="1016">
        <v>11</v>
      </c>
    </row>
    <row r="13" spans="1:20" ht="21.95" customHeight="1">
      <c r="B13" s="1017">
        <v>161373</v>
      </c>
      <c r="C13" s="1002"/>
      <c r="D13" s="1009" t="s">
        <v>2090</v>
      </c>
      <c r="E13" s="1009" t="s">
        <v>2091</v>
      </c>
      <c r="F13" s="1009">
        <v>156</v>
      </c>
      <c r="G13" s="1009">
        <v>36</v>
      </c>
      <c r="H13" s="1010"/>
      <c r="I13" s="1011" t="s">
        <v>2101</v>
      </c>
      <c r="J13" s="1011">
        <v>12259000</v>
      </c>
      <c r="K13" s="1011">
        <v>12259000</v>
      </c>
      <c r="L13" s="1009">
        <v>1225900</v>
      </c>
      <c r="M13" s="1012"/>
      <c r="N13" s="1011">
        <v>1225900</v>
      </c>
      <c r="O13" s="1013">
        <f t="shared" si="0"/>
        <v>11033100</v>
      </c>
      <c r="P13" s="1014"/>
      <c r="Q13" s="1014"/>
      <c r="R13" s="1000">
        <f t="shared" si="1"/>
        <v>11033100</v>
      </c>
      <c r="S13" s="1015" t="s">
        <v>2093</v>
      </c>
      <c r="T13" s="1016">
        <v>11</v>
      </c>
    </row>
    <row r="14" spans="1:20" ht="21.95" customHeight="1">
      <c r="B14" s="1017">
        <v>161373</v>
      </c>
      <c r="C14" s="1002"/>
      <c r="D14" s="1009" t="s">
        <v>2090</v>
      </c>
      <c r="E14" s="1009" t="s">
        <v>2091</v>
      </c>
      <c r="F14" s="1009">
        <v>156</v>
      </c>
      <c r="G14" s="1009">
        <v>36</v>
      </c>
      <c r="H14" s="1010"/>
      <c r="I14" s="1011" t="s">
        <v>2102</v>
      </c>
      <c r="J14" s="1011">
        <v>11536000</v>
      </c>
      <c r="K14" s="1011">
        <v>11536000</v>
      </c>
      <c r="L14" s="1009">
        <v>1153600</v>
      </c>
      <c r="M14" s="1012"/>
      <c r="N14" s="1011">
        <v>1153600</v>
      </c>
      <c r="O14" s="1013">
        <f t="shared" si="0"/>
        <v>10382400</v>
      </c>
      <c r="P14" s="1014"/>
      <c r="Q14" s="1014"/>
      <c r="R14" s="1000">
        <f t="shared" si="1"/>
        <v>10382400</v>
      </c>
      <c r="S14" s="1015" t="s">
        <v>2093</v>
      </c>
      <c r="T14" s="1016">
        <v>11</v>
      </c>
    </row>
    <row r="15" spans="1:20" ht="21.95" customHeight="1">
      <c r="B15" s="1017">
        <v>161373</v>
      </c>
      <c r="C15" s="1002"/>
      <c r="D15" s="1009" t="s">
        <v>2090</v>
      </c>
      <c r="E15" s="1009" t="s">
        <v>2091</v>
      </c>
      <c r="F15" s="1009">
        <v>156</v>
      </c>
      <c r="G15" s="1009">
        <v>36</v>
      </c>
      <c r="H15" s="1010"/>
      <c r="I15" s="1011" t="s">
        <v>2103</v>
      </c>
      <c r="J15" s="1011">
        <v>18595800</v>
      </c>
      <c r="K15" s="1011">
        <v>18595800</v>
      </c>
      <c r="L15" s="1009">
        <v>1859580</v>
      </c>
      <c r="M15" s="1012"/>
      <c r="N15" s="1011">
        <v>1859580</v>
      </c>
      <c r="O15" s="1013">
        <f t="shared" si="0"/>
        <v>16736220</v>
      </c>
      <c r="P15" s="1014"/>
      <c r="Q15" s="1014"/>
      <c r="R15" s="1000">
        <f t="shared" si="1"/>
        <v>16736220</v>
      </c>
      <c r="S15" s="1015" t="s">
        <v>2093</v>
      </c>
      <c r="T15" s="1016">
        <v>11.5</v>
      </c>
    </row>
    <row r="16" spans="1:20" ht="21.95" customHeight="1">
      <c r="B16" s="1017">
        <v>161373</v>
      </c>
      <c r="C16" s="1002"/>
      <c r="D16" s="1009" t="s">
        <v>2090</v>
      </c>
      <c r="E16" s="1009" t="s">
        <v>2091</v>
      </c>
      <c r="F16" s="1009">
        <v>156</v>
      </c>
      <c r="G16" s="1009">
        <v>36</v>
      </c>
      <c r="H16" s="1010"/>
      <c r="I16" s="1011" t="s">
        <v>2104</v>
      </c>
      <c r="J16" s="1011">
        <v>92957500</v>
      </c>
      <c r="K16" s="1011">
        <v>92957500</v>
      </c>
      <c r="L16" s="1009">
        <v>9295750</v>
      </c>
      <c r="M16" s="1012"/>
      <c r="N16" s="1011">
        <v>9295750</v>
      </c>
      <c r="O16" s="1013">
        <f t="shared" si="0"/>
        <v>83661750</v>
      </c>
      <c r="P16" s="1014"/>
      <c r="Q16" s="1014"/>
      <c r="R16" s="1000">
        <f t="shared" si="1"/>
        <v>83661750</v>
      </c>
      <c r="S16" s="1015" t="s">
        <v>2093</v>
      </c>
      <c r="T16" s="1018">
        <v>12.25</v>
      </c>
    </row>
    <row r="17" spans="1:20" ht="21.95" customHeight="1">
      <c r="B17" s="1017">
        <v>161373</v>
      </c>
      <c r="C17" s="1002"/>
      <c r="D17" s="1009" t="s">
        <v>2090</v>
      </c>
      <c r="E17" s="1009" t="s">
        <v>2091</v>
      </c>
      <c r="F17" s="1009">
        <v>156</v>
      </c>
      <c r="G17" s="1009">
        <v>36</v>
      </c>
      <c r="H17" s="1010"/>
      <c r="I17" s="1011" t="s">
        <v>2105</v>
      </c>
      <c r="J17" s="1011">
        <v>75074700</v>
      </c>
      <c r="K17" s="1011">
        <v>75074700</v>
      </c>
      <c r="L17" s="1009">
        <v>7507470</v>
      </c>
      <c r="M17" s="1012"/>
      <c r="N17" s="1011">
        <v>7507470</v>
      </c>
      <c r="O17" s="1013">
        <f t="shared" si="0"/>
        <v>67567230</v>
      </c>
      <c r="P17" s="1014"/>
      <c r="Q17" s="1014"/>
      <c r="R17" s="1000">
        <f t="shared" si="1"/>
        <v>67567230</v>
      </c>
      <c r="S17" s="1015" t="s">
        <v>2093</v>
      </c>
      <c r="T17" s="1016">
        <v>13.5</v>
      </c>
    </row>
    <row r="18" spans="1:20" ht="21.95" customHeight="1">
      <c r="B18" s="1017">
        <v>161373</v>
      </c>
      <c r="C18" s="1002"/>
      <c r="D18" s="1009" t="s">
        <v>2090</v>
      </c>
      <c r="E18" s="1009" t="s">
        <v>2091</v>
      </c>
      <c r="F18" s="1009">
        <v>156</v>
      </c>
      <c r="G18" s="1009">
        <v>36</v>
      </c>
      <c r="H18" s="1010"/>
      <c r="I18" s="1011" t="s">
        <v>2106</v>
      </c>
      <c r="J18" s="1011">
        <v>27693500</v>
      </c>
      <c r="K18" s="1011">
        <v>27693500</v>
      </c>
      <c r="L18" s="1009">
        <v>2769350</v>
      </c>
      <c r="M18" s="1012"/>
      <c r="N18" s="1011">
        <v>2769350</v>
      </c>
      <c r="O18" s="1013">
        <f t="shared" si="0"/>
        <v>24924150</v>
      </c>
      <c r="P18" s="1014"/>
      <c r="Q18" s="1014"/>
      <c r="R18" s="1000">
        <f t="shared" si="1"/>
        <v>24924150</v>
      </c>
      <c r="S18" s="1015" t="s">
        <v>2093</v>
      </c>
      <c r="T18" s="1016">
        <v>13.5</v>
      </c>
    </row>
    <row r="19" spans="1:20" ht="21.95" customHeight="1">
      <c r="B19" s="1017">
        <v>161373</v>
      </c>
      <c r="C19" s="1002"/>
      <c r="D19" s="1009" t="s">
        <v>2090</v>
      </c>
      <c r="E19" s="1009" t="s">
        <v>2091</v>
      </c>
      <c r="F19" s="1009">
        <v>156</v>
      </c>
      <c r="G19" s="1009">
        <v>36</v>
      </c>
      <c r="H19" s="1010"/>
      <c r="I19" s="1011" t="s">
        <v>2107</v>
      </c>
      <c r="J19" s="1011">
        <v>20553000</v>
      </c>
      <c r="K19" s="1011">
        <v>20553000</v>
      </c>
      <c r="L19" s="1009">
        <v>2055300</v>
      </c>
      <c r="M19" s="1012"/>
      <c r="N19" s="1011">
        <v>2055300</v>
      </c>
      <c r="O19" s="1013">
        <f t="shared" si="0"/>
        <v>18497700</v>
      </c>
      <c r="P19" s="1014"/>
      <c r="Q19" s="1014"/>
      <c r="R19" s="1000">
        <f t="shared" si="1"/>
        <v>18497700</v>
      </c>
      <c r="S19" s="1015" t="s">
        <v>2093</v>
      </c>
      <c r="T19" s="1016">
        <v>12.75</v>
      </c>
    </row>
    <row r="20" spans="1:20" ht="21.95" customHeight="1">
      <c r="B20" s="1017">
        <v>161373</v>
      </c>
      <c r="C20" s="1002"/>
      <c r="D20" s="1009" t="s">
        <v>2090</v>
      </c>
      <c r="E20" s="1009" t="s">
        <v>2091</v>
      </c>
      <c r="F20" s="1009">
        <v>156</v>
      </c>
      <c r="G20" s="1009">
        <v>36</v>
      </c>
      <c r="H20" s="1010"/>
      <c r="I20" s="1011" t="s">
        <v>2108</v>
      </c>
      <c r="J20" s="1011">
        <v>39730800</v>
      </c>
      <c r="K20" s="1011">
        <v>39730800</v>
      </c>
      <c r="L20" s="1009">
        <v>3973080</v>
      </c>
      <c r="M20" s="1012"/>
      <c r="N20" s="1011">
        <v>3973080</v>
      </c>
      <c r="O20" s="1013">
        <f t="shared" si="0"/>
        <v>35757720</v>
      </c>
      <c r="P20" s="1014"/>
      <c r="Q20" s="1014"/>
      <c r="R20" s="1000">
        <f t="shared" si="1"/>
        <v>35757720</v>
      </c>
      <c r="S20" s="1015" t="s">
        <v>2093</v>
      </c>
      <c r="T20" s="1016">
        <v>11.5</v>
      </c>
    </row>
    <row r="21" spans="1:20" ht="21.95" customHeight="1">
      <c r="B21" s="1017">
        <v>161373</v>
      </c>
      <c r="C21" s="1002"/>
      <c r="D21" s="1009" t="s">
        <v>2090</v>
      </c>
      <c r="E21" s="1009" t="s">
        <v>2091</v>
      </c>
      <c r="F21" s="1009">
        <v>156</v>
      </c>
      <c r="G21" s="1009">
        <v>36</v>
      </c>
      <c r="H21" s="1010"/>
      <c r="I21" s="1011" t="s">
        <v>2109</v>
      </c>
      <c r="J21" s="1011">
        <v>29232300</v>
      </c>
      <c r="K21" s="1011">
        <v>29232300</v>
      </c>
      <c r="L21" s="1009">
        <v>2923230</v>
      </c>
      <c r="M21" s="1012"/>
      <c r="N21" s="1011">
        <v>2923230</v>
      </c>
      <c r="O21" s="1013">
        <f t="shared" si="0"/>
        <v>26309070</v>
      </c>
      <c r="P21" s="1014"/>
      <c r="Q21" s="1014"/>
      <c r="R21" s="1000">
        <f t="shared" si="1"/>
        <v>26309070</v>
      </c>
      <c r="S21" s="1015" t="s">
        <v>2093</v>
      </c>
      <c r="T21" s="1016">
        <v>11.5</v>
      </c>
    </row>
    <row r="22" spans="1:20" ht="21.95" customHeight="1">
      <c r="B22" s="1017">
        <v>161373</v>
      </c>
      <c r="C22" s="1002"/>
      <c r="D22" s="1009" t="s">
        <v>2090</v>
      </c>
      <c r="E22" s="1009" t="s">
        <v>2091</v>
      </c>
      <c r="F22" s="1009">
        <v>156</v>
      </c>
      <c r="G22" s="1009">
        <v>36</v>
      </c>
      <c r="H22" s="1010"/>
      <c r="I22" s="1011" t="s">
        <v>2110</v>
      </c>
      <c r="J22" s="1011">
        <v>13572500</v>
      </c>
      <c r="K22" s="1011">
        <v>13572500</v>
      </c>
      <c r="L22" s="1009">
        <v>1357250</v>
      </c>
      <c r="M22" s="1012"/>
      <c r="N22" s="1011">
        <v>1357250</v>
      </c>
      <c r="O22" s="1013">
        <f t="shared" si="0"/>
        <v>12215250</v>
      </c>
      <c r="P22" s="1014"/>
      <c r="Q22" s="1014"/>
      <c r="R22" s="1000">
        <f t="shared" si="1"/>
        <v>12215250</v>
      </c>
      <c r="S22" s="1015" t="s">
        <v>2093</v>
      </c>
      <c r="T22" s="1016">
        <v>11.5</v>
      </c>
    </row>
    <row r="23" spans="1:20" ht="21.95" customHeight="1">
      <c r="B23" s="1017">
        <v>161373</v>
      </c>
      <c r="C23" s="1002"/>
      <c r="D23" s="1009" t="s">
        <v>2090</v>
      </c>
      <c r="E23" s="1009" t="s">
        <v>2091</v>
      </c>
      <c r="F23" s="1009">
        <v>156</v>
      </c>
      <c r="G23" s="1009">
        <v>36</v>
      </c>
      <c r="H23" s="1010"/>
      <c r="I23" s="1011" t="s">
        <v>2111</v>
      </c>
      <c r="J23" s="1011">
        <v>2851500</v>
      </c>
      <c r="K23" s="1011">
        <v>2851500</v>
      </c>
      <c r="L23" s="1009">
        <v>285150</v>
      </c>
      <c r="M23" s="1012"/>
      <c r="N23" s="1011">
        <v>285150</v>
      </c>
      <c r="O23" s="1013">
        <f t="shared" si="0"/>
        <v>2566350</v>
      </c>
      <c r="P23" s="1014"/>
      <c r="Q23" s="1014"/>
      <c r="R23" s="1000">
        <f t="shared" si="1"/>
        <v>2566350</v>
      </c>
      <c r="S23" s="1015" t="s">
        <v>2093</v>
      </c>
      <c r="T23" s="1016">
        <v>11</v>
      </c>
    </row>
    <row r="24" spans="1:20" ht="21.95" customHeight="1">
      <c r="B24" s="1017">
        <v>161373</v>
      </c>
      <c r="C24" s="1002"/>
      <c r="D24" s="1009" t="s">
        <v>2090</v>
      </c>
      <c r="E24" s="1009" t="s">
        <v>2091</v>
      </c>
      <c r="F24" s="1009">
        <v>156</v>
      </c>
      <c r="G24" s="1009">
        <v>36</v>
      </c>
      <c r="H24" s="1010"/>
      <c r="I24" s="1011" t="s">
        <v>2112</v>
      </c>
      <c r="J24" s="1011">
        <v>15751900</v>
      </c>
      <c r="K24" s="1011">
        <v>15751900</v>
      </c>
      <c r="L24" s="1009">
        <v>1575190</v>
      </c>
      <c r="M24" s="1012"/>
      <c r="N24" s="1011">
        <v>1575190</v>
      </c>
      <c r="O24" s="1013">
        <f t="shared" si="0"/>
        <v>14176710</v>
      </c>
      <c r="P24" s="1014"/>
      <c r="Q24" s="1014"/>
      <c r="R24" s="1000">
        <f t="shared" si="1"/>
        <v>14176710</v>
      </c>
      <c r="S24" s="1015" t="s">
        <v>2093</v>
      </c>
      <c r="T24" s="1016">
        <v>11</v>
      </c>
    </row>
    <row r="25" spans="1:20" ht="21.95" customHeight="1">
      <c r="B25" s="1017">
        <v>161373</v>
      </c>
      <c r="C25" s="1002"/>
      <c r="D25" s="1009" t="s">
        <v>2090</v>
      </c>
      <c r="E25" s="1009" t="s">
        <v>2091</v>
      </c>
      <c r="F25" s="1009">
        <v>156</v>
      </c>
      <c r="G25" s="1009">
        <v>36</v>
      </c>
      <c r="H25" s="1010"/>
      <c r="I25" s="1019">
        <v>40480</v>
      </c>
      <c r="J25" s="1012">
        <v>62914000</v>
      </c>
      <c r="K25" s="1011">
        <v>0</v>
      </c>
      <c r="L25" s="1009">
        <v>6291400</v>
      </c>
      <c r="M25" s="1012">
        <v>62914000</v>
      </c>
      <c r="N25" s="1020">
        <f>M25*0.1</f>
        <v>6291400</v>
      </c>
      <c r="O25" s="1013">
        <f>M25-N25</f>
        <v>56622600</v>
      </c>
      <c r="P25" s="1014"/>
      <c r="Q25" s="1014"/>
      <c r="R25" s="1000">
        <f t="shared" si="1"/>
        <v>56622600</v>
      </c>
      <c r="S25" s="1015" t="s">
        <v>2093</v>
      </c>
      <c r="T25" s="1016">
        <v>11</v>
      </c>
    </row>
    <row r="26" spans="1:20" ht="21.95" customHeight="1">
      <c r="B26" s="1017">
        <v>161373</v>
      </c>
      <c r="C26" s="1002"/>
      <c r="D26" s="1009" t="s">
        <v>2090</v>
      </c>
      <c r="E26" s="1009" t="s">
        <v>2091</v>
      </c>
      <c r="F26" s="1009">
        <v>156</v>
      </c>
      <c r="G26" s="1009">
        <v>36</v>
      </c>
      <c r="H26" s="1010"/>
      <c r="I26" s="1019">
        <v>40480</v>
      </c>
      <c r="J26" s="1012">
        <v>4974000</v>
      </c>
      <c r="K26" s="1011">
        <v>0</v>
      </c>
      <c r="L26" s="1009">
        <v>497400</v>
      </c>
      <c r="M26" s="1012">
        <v>4974000</v>
      </c>
      <c r="N26" s="1020">
        <f>M26*0.1</f>
        <v>497400</v>
      </c>
      <c r="O26" s="1013">
        <f>M26-N26</f>
        <v>4476600</v>
      </c>
      <c r="P26" s="1014"/>
      <c r="Q26" s="1014"/>
      <c r="R26" s="1000">
        <f t="shared" si="1"/>
        <v>4476600</v>
      </c>
      <c r="S26" s="1015" t="s">
        <v>2093</v>
      </c>
      <c r="T26" s="1016">
        <v>11</v>
      </c>
    </row>
    <row r="27" spans="1:20" ht="21.95" customHeight="1">
      <c r="B27" s="1017"/>
      <c r="C27" s="1002"/>
      <c r="D27" s="1009"/>
      <c r="E27" s="1009"/>
      <c r="F27" s="1009"/>
      <c r="G27" s="1009"/>
      <c r="H27" s="1010"/>
      <c r="I27" s="1019">
        <v>40541</v>
      </c>
      <c r="J27" s="1012">
        <v>22028000</v>
      </c>
      <c r="K27" s="1011">
        <v>0</v>
      </c>
      <c r="L27" s="1009">
        <v>2202800</v>
      </c>
      <c r="M27" s="1012">
        <v>22028000</v>
      </c>
      <c r="N27" s="1020">
        <f>M27*0.1</f>
        <v>2202800</v>
      </c>
      <c r="O27" s="1013">
        <f>M27-N27</f>
        <v>19825200</v>
      </c>
      <c r="P27" s="1014"/>
      <c r="Q27" s="1014"/>
      <c r="R27" s="1000">
        <f t="shared" si="1"/>
        <v>19825200</v>
      </c>
      <c r="S27" s="1015" t="s">
        <v>2093</v>
      </c>
      <c r="T27" s="1016">
        <v>11</v>
      </c>
    </row>
    <row r="28" spans="1:20" ht="21.95" customHeight="1">
      <c r="B28" s="1017"/>
      <c r="C28" s="1002"/>
      <c r="D28" s="1009"/>
      <c r="E28" s="1009"/>
      <c r="F28" s="1009"/>
      <c r="G28" s="1009"/>
      <c r="H28" s="1010"/>
      <c r="I28" s="1019">
        <v>40578</v>
      </c>
      <c r="J28" s="1012">
        <v>14714800</v>
      </c>
      <c r="K28" s="1011">
        <v>0</v>
      </c>
      <c r="L28" s="1009">
        <v>1471480</v>
      </c>
      <c r="M28" s="1012">
        <v>14714800</v>
      </c>
      <c r="N28" s="1020">
        <f>M28*0.1</f>
        <v>1471480</v>
      </c>
      <c r="O28" s="1013">
        <f>M28-N28</f>
        <v>13243320</v>
      </c>
      <c r="P28" s="1014"/>
      <c r="Q28" s="1014"/>
      <c r="R28" s="1000">
        <f t="shared" si="1"/>
        <v>13243320</v>
      </c>
      <c r="S28" s="1015" t="s">
        <v>2093</v>
      </c>
      <c r="T28" s="1016">
        <v>11</v>
      </c>
    </row>
    <row r="29" spans="1:20" ht="21.95" customHeight="1">
      <c r="B29" s="1017"/>
      <c r="C29" s="1002"/>
      <c r="D29" s="1009"/>
      <c r="E29" s="1009"/>
      <c r="F29" s="1009"/>
      <c r="G29" s="1009"/>
      <c r="H29" s="1010"/>
      <c r="I29" s="1019">
        <v>40620</v>
      </c>
      <c r="J29" s="1012">
        <v>24436400</v>
      </c>
      <c r="K29" s="1011"/>
      <c r="L29" s="1009">
        <v>2715156</v>
      </c>
      <c r="M29" s="1012">
        <v>24436400</v>
      </c>
      <c r="N29" s="1011">
        <v>0</v>
      </c>
      <c r="O29" s="1013">
        <f>M29-N29</f>
        <v>24436400</v>
      </c>
      <c r="P29" s="1014"/>
      <c r="Q29" s="1014"/>
      <c r="R29" s="1000">
        <f t="shared" si="1"/>
        <v>24436400</v>
      </c>
      <c r="S29" s="1015"/>
      <c r="T29" s="1016">
        <v>11.5</v>
      </c>
    </row>
    <row r="30" spans="1:20" ht="21.95" customHeight="1">
      <c r="B30" s="1017"/>
      <c r="C30" s="1002"/>
      <c r="D30" s="1009"/>
      <c r="E30" s="1009"/>
      <c r="F30" s="1009"/>
      <c r="G30" s="1009"/>
      <c r="H30" s="1010"/>
      <c r="I30" s="1019" t="s">
        <v>2113</v>
      </c>
      <c r="J30" s="1012">
        <v>51629500</v>
      </c>
      <c r="K30" s="1011"/>
      <c r="L30" s="1009">
        <v>5736611</v>
      </c>
      <c r="N30" s="1011">
        <v>0</v>
      </c>
      <c r="O30" s="1013"/>
      <c r="P30" s="1014"/>
      <c r="Q30" s="1012">
        <v>51629500</v>
      </c>
      <c r="R30" s="1000">
        <f t="shared" si="1"/>
        <v>51629500</v>
      </c>
      <c r="S30" s="1015"/>
      <c r="T30" s="1016">
        <v>12.25</v>
      </c>
    </row>
    <row r="31" spans="1:20" ht="21.95" customHeight="1">
      <c r="B31" s="1017"/>
      <c r="C31" s="1002"/>
      <c r="D31" s="1009"/>
      <c r="E31" s="1009"/>
      <c r="F31" s="1009"/>
      <c r="G31" s="1009"/>
      <c r="H31" s="1010"/>
      <c r="I31" s="1019"/>
      <c r="J31" s="1011"/>
      <c r="K31" s="1011"/>
      <c r="L31" s="1009"/>
      <c r="M31" s="1012"/>
      <c r="N31" s="1011"/>
      <c r="O31" s="1014"/>
      <c r="P31" s="1014"/>
      <c r="Q31" s="1014"/>
      <c r="R31" s="1000">
        <f t="shared" si="1"/>
        <v>0</v>
      </c>
      <c r="S31" s="1015"/>
      <c r="T31" s="1021"/>
    </row>
    <row r="32" spans="1:20" s="1030" customFormat="1" ht="21.95" customHeight="1">
      <c r="A32" s="1022"/>
      <c r="B32" s="1023"/>
      <c r="C32" s="1024"/>
      <c r="D32" s="1025"/>
      <c r="E32" s="1025"/>
      <c r="F32" s="1025"/>
      <c r="G32" s="1025"/>
      <c r="H32" s="1026"/>
      <c r="I32" s="1027" t="s">
        <v>287</v>
      </c>
      <c r="J32" s="1026">
        <f>J4+J5+J6+J7+J8+J9+J10+J11+J12+J13+J14+J15+J16+J17+J18+J19+J20+J21+J22+J23+J24+J25+J26+J27+J28+J29+J30</f>
        <v>985870500</v>
      </c>
      <c r="K32" s="1026">
        <f>K4+K5+K6+K7+K8+K9+K10+K11+K12+K13+K14+K15+K16+K17+K18+K19+K20+K21+K22+K23+K24</f>
        <v>805173800</v>
      </c>
      <c r="L32" s="1025">
        <f>L4+L5+L6+L7+L8+L9+L10+L11+L12+L13+L14+L15+L16+L17+L18+L19+L20+L21+L22+L23+L24+L25+L26+L27+L28+L29+L30</f>
        <v>99432227</v>
      </c>
      <c r="M32" s="1026">
        <f>SUM(M25:M30)</f>
        <v>129067200</v>
      </c>
      <c r="N32" s="1026">
        <f>N4+N5+N6+N7+N8+N9+N10+N11+N12+N13+N14+N15+N16+N17+N18+N19+N20+N21+N22+N23+N24+N25+N26+N27+N28</f>
        <v>90980460</v>
      </c>
      <c r="O32" s="1026">
        <f>K32+M32-N32</f>
        <v>843260540</v>
      </c>
      <c r="P32" s="1026"/>
      <c r="Q32" s="1026">
        <f>Q30+Q29</f>
        <v>51629500</v>
      </c>
      <c r="R32" s="1000">
        <f t="shared" si="1"/>
        <v>894890040</v>
      </c>
      <c r="S32" s="1028"/>
      <c r="T32" s="1029"/>
    </row>
    <row r="33" spans="1:20" ht="30" customHeight="1">
      <c r="A33" s="993">
        <v>2</v>
      </c>
      <c r="B33" s="1008">
        <v>161414</v>
      </c>
      <c r="C33" s="1002" t="s">
        <v>2114</v>
      </c>
      <c r="D33" s="1009" t="s">
        <v>2090</v>
      </c>
      <c r="E33" s="1009" t="s">
        <v>2091</v>
      </c>
      <c r="F33" s="1009">
        <v>156</v>
      </c>
      <c r="G33" s="1009">
        <v>36</v>
      </c>
      <c r="H33" s="1010">
        <v>406627000</v>
      </c>
      <c r="I33" s="1011" t="s">
        <v>2115</v>
      </c>
      <c r="J33" s="1011">
        <v>41707000</v>
      </c>
      <c r="K33" s="1011">
        <v>41707000</v>
      </c>
      <c r="L33" s="1009">
        <v>4170700</v>
      </c>
      <c r="M33" s="1012"/>
      <c r="N33" s="1011"/>
      <c r="O33" s="1014">
        <f>K33+M33</f>
        <v>41707000</v>
      </c>
      <c r="P33" s="1014"/>
      <c r="Q33" s="1014"/>
      <c r="R33" s="1000">
        <f t="shared" si="1"/>
        <v>41707000</v>
      </c>
      <c r="S33" s="1015" t="s">
        <v>2116</v>
      </c>
      <c r="T33" s="1031">
        <v>11</v>
      </c>
    </row>
    <row r="34" spans="1:20" ht="21.95" customHeight="1">
      <c r="B34" s="1017">
        <v>161414</v>
      </c>
      <c r="C34" s="1002"/>
      <c r="D34" s="1009" t="s">
        <v>2090</v>
      </c>
      <c r="E34" s="1009" t="s">
        <v>2091</v>
      </c>
      <c r="F34" s="1009">
        <v>156</v>
      </c>
      <c r="G34" s="1009">
        <v>36</v>
      </c>
      <c r="H34" s="1010"/>
      <c r="I34" s="1011" t="s">
        <v>2115</v>
      </c>
      <c r="J34" s="1011">
        <v>81325400</v>
      </c>
      <c r="K34" s="1011">
        <v>81325400</v>
      </c>
      <c r="L34" s="1009">
        <v>8132540</v>
      </c>
      <c r="M34" s="1012"/>
      <c r="N34" s="1011"/>
      <c r="O34" s="1014">
        <f t="shared" ref="O34:O42" si="2">K34+M34</f>
        <v>81325400</v>
      </c>
      <c r="P34" s="1014"/>
      <c r="Q34" s="1014"/>
      <c r="R34" s="1000">
        <f t="shared" si="1"/>
        <v>81325400</v>
      </c>
      <c r="S34" s="1015" t="s">
        <v>2116</v>
      </c>
      <c r="T34" s="1031">
        <v>11</v>
      </c>
    </row>
    <row r="35" spans="1:20" ht="21.95" customHeight="1">
      <c r="B35" s="1017">
        <v>161414</v>
      </c>
      <c r="C35" s="1002"/>
      <c r="D35" s="1009" t="s">
        <v>2090</v>
      </c>
      <c r="E35" s="1009" t="s">
        <v>2091</v>
      </c>
      <c r="F35" s="1009">
        <v>156</v>
      </c>
      <c r="G35" s="1009">
        <v>36</v>
      </c>
      <c r="H35" s="1010"/>
      <c r="I35" s="1011" t="s">
        <v>2117</v>
      </c>
      <c r="J35" s="1011">
        <v>1298500</v>
      </c>
      <c r="K35" s="1011">
        <v>1298500</v>
      </c>
      <c r="L35" s="1009">
        <v>129850</v>
      </c>
      <c r="M35" s="1012"/>
      <c r="N35" s="1011"/>
      <c r="O35" s="1014">
        <f t="shared" si="2"/>
        <v>1298500</v>
      </c>
      <c r="P35" s="1014"/>
      <c r="Q35" s="1014"/>
      <c r="R35" s="1000">
        <f t="shared" si="1"/>
        <v>1298500</v>
      </c>
      <c r="S35" s="1015" t="s">
        <v>2116</v>
      </c>
      <c r="T35" s="1031">
        <v>11.5</v>
      </c>
    </row>
    <row r="36" spans="1:20" ht="21.95" customHeight="1">
      <c r="B36" s="1017">
        <v>161414</v>
      </c>
      <c r="C36" s="1002"/>
      <c r="D36" s="1009" t="s">
        <v>2090</v>
      </c>
      <c r="E36" s="1009" t="s">
        <v>2091</v>
      </c>
      <c r="F36" s="1009">
        <v>156</v>
      </c>
      <c r="G36" s="1009">
        <v>36</v>
      </c>
      <c r="H36" s="1010"/>
      <c r="I36" s="1011" t="s">
        <v>2103</v>
      </c>
      <c r="J36" s="1011">
        <v>16756000</v>
      </c>
      <c r="K36" s="1011">
        <v>16756000</v>
      </c>
      <c r="L36" s="1009">
        <v>1675600</v>
      </c>
      <c r="M36" s="1012"/>
      <c r="N36" s="1011"/>
      <c r="O36" s="1014">
        <f t="shared" si="2"/>
        <v>16756000</v>
      </c>
      <c r="P36" s="1014"/>
      <c r="Q36" s="1014"/>
      <c r="R36" s="1000">
        <f t="shared" si="1"/>
        <v>16756000</v>
      </c>
      <c r="S36" s="1015" t="s">
        <v>2116</v>
      </c>
      <c r="T36" s="1031">
        <v>11.5</v>
      </c>
    </row>
    <row r="37" spans="1:20" ht="21.95" customHeight="1">
      <c r="B37" s="1017">
        <v>161414</v>
      </c>
      <c r="C37" s="1002"/>
      <c r="D37" s="1009" t="s">
        <v>2090</v>
      </c>
      <c r="E37" s="1009" t="s">
        <v>2091</v>
      </c>
      <c r="F37" s="1009">
        <v>156</v>
      </c>
      <c r="G37" s="1009">
        <v>36</v>
      </c>
      <c r="H37" s="1010"/>
      <c r="I37" s="1011" t="s">
        <v>2118</v>
      </c>
      <c r="J37" s="1011">
        <v>15120000</v>
      </c>
      <c r="K37" s="1011">
        <v>15120000</v>
      </c>
      <c r="L37" s="1009">
        <v>1512000</v>
      </c>
      <c r="M37" s="1012"/>
      <c r="N37" s="1011"/>
      <c r="O37" s="1014">
        <f t="shared" si="2"/>
        <v>15120000</v>
      </c>
      <c r="P37" s="1014"/>
      <c r="Q37" s="1014"/>
      <c r="R37" s="1000">
        <f t="shared" si="1"/>
        <v>15120000</v>
      </c>
      <c r="S37" s="1015" t="s">
        <v>2116</v>
      </c>
      <c r="T37" s="1031">
        <v>12.25</v>
      </c>
    </row>
    <row r="38" spans="1:20" ht="21.95" customHeight="1">
      <c r="B38" s="1017">
        <v>161414</v>
      </c>
      <c r="C38" s="1002"/>
      <c r="D38" s="1009" t="s">
        <v>2090</v>
      </c>
      <c r="E38" s="1009" t="s">
        <v>2091</v>
      </c>
      <c r="F38" s="1009">
        <v>156</v>
      </c>
      <c r="G38" s="1009">
        <v>36</v>
      </c>
      <c r="H38" s="1010"/>
      <c r="I38" s="1011" t="s">
        <v>2119</v>
      </c>
      <c r="J38" s="1011">
        <v>16451500</v>
      </c>
      <c r="K38" s="1011">
        <v>16451500</v>
      </c>
      <c r="L38" s="1009">
        <v>1645150</v>
      </c>
      <c r="M38" s="1012"/>
      <c r="N38" s="1011"/>
      <c r="O38" s="1014">
        <f t="shared" si="2"/>
        <v>16451500</v>
      </c>
      <c r="P38" s="1014"/>
      <c r="Q38" s="1014"/>
      <c r="R38" s="1000">
        <f t="shared" si="1"/>
        <v>16451500</v>
      </c>
      <c r="S38" s="1015" t="s">
        <v>2116</v>
      </c>
      <c r="T38" s="1031">
        <v>13.5</v>
      </c>
    </row>
    <row r="39" spans="1:20" ht="21.95" customHeight="1">
      <c r="B39" s="1017">
        <v>161414</v>
      </c>
      <c r="C39" s="1002"/>
      <c r="D39" s="1009" t="s">
        <v>2090</v>
      </c>
      <c r="E39" s="1009" t="s">
        <v>2091</v>
      </c>
      <c r="F39" s="1009">
        <v>156</v>
      </c>
      <c r="G39" s="1009">
        <v>36</v>
      </c>
      <c r="H39" s="1010"/>
      <c r="I39" s="1011" t="s">
        <v>2120</v>
      </c>
      <c r="J39" s="1011">
        <v>17391700</v>
      </c>
      <c r="K39" s="1011">
        <v>17391700</v>
      </c>
      <c r="L39" s="1009">
        <v>1739170</v>
      </c>
      <c r="M39" s="1012"/>
      <c r="N39" s="1011"/>
      <c r="O39" s="1014">
        <f t="shared" si="2"/>
        <v>17391700</v>
      </c>
      <c r="P39" s="1014"/>
      <c r="Q39" s="1014"/>
      <c r="R39" s="1000">
        <f t="shared" si="1"/>
        <v>17391700</v>
      </c>
      <c r="S39" s="1015" t="s">
        <v>2116</v>
      </c>
      <c r="T39" s="1031">
        <v>12</v>
      </c>
    </row>
    <row r="40" spans="1:20" ht="21.95" customHeight="1">
      <c r="B40" s="1017">
        <v>161414</v>
      </c>
      <c r="C40" s="1002"/>
      <c r="D40" s="1009" t="s">
        <v>2090</v>
      </c>
      <c r="E40" s="1009" t="s">
        <v>2091</v>
      </c>
      <c r="F40" s="1009">
        <v>156</v>
      </c>
      <c r="G40" s="1009">
        <v>36</v>
      </c>
      <c r="H40" s="1010"/>
      <c r="I40" s="1011" t="s">
        <v>2121</v>
      </c>
      <c r="J40" s="1011">
        <v>15743000</v>
      </c>
      <c r="K40" s="1011">
        <v>15743000</v>
      </c>
      <c r="L40" s="1009">
        <v>1574300</v>
      </c>
      <c r="M40" s="1012"/>
      <c r="N40" s="1011"/>
      <c r="O40" s="1014">
        <f t="shared" si="2"/>
        <v>15743000</v>
      </c>
      <c r="P40" s="1014"/>
      <c r="Q40" s="1014"/>
      <c r="R40" s="1000">
        <f t="shared" si="1"/>
        <v>15743000</v>
      </c>
      <c r="S40" s="1015" t="s">
        <v>2116</v>
      </c>
      <c r="T40" s="1031">
        <v>11</v>
      </c>
    </row>
    <row r="41" spans="1:20" ht="21.95" customHeight="1">
      <c r="B41" s="1017"/>
      <c r="C41" s="1002"/>
      <c r="D41" s="1009"/>
      <c r="E41" s="1009"/>
      <c r="F41" s="1009"/>
      <c r="G41" s="1009"/>
      <c r="H41" s="1010"/>
      <c r="I41" s="1019">
        <v>40546</v>
      </c>
      <c r="J41" s="1012">
        <v>9638900</v>
      </c>
      <c r="K41" s="1011">
        <v>0</v>
      </c>
      <c r="L41" s="1009">
        <v>963890</v>
      </c>
      <c r="M41" s="1012">
        <v>9638900</v>
      </c>
      <c r="N41" s="1011"/>
      <c r="O41" s="1014">
        <f t="shared" si="2"/>
        <v>9638900</v>
      </c>
      <c r="P41" s="1014"/>
      <c r="Q41" s="1014"/>
      <c r="R41" s="1000">
        <f t="shared" si="1"/>
        <v>9638900</v>
      </c>
      <c r="S41" s="1015" t="s">
        <v>2116</v>
      </c>
      <c r="T41" s="1031">
        <v>11</v>
      </c>
    </row>
    <row r="42" spans="1:20" ht="21.95" customHeight="1">
      <c r="B42" s="1017"/>
      <c r="C42" s="1002"/>
      <c r="D42" s="1009"/>
      <c r="E42" s="1009"/>
      <c r="F42" s="1009"/>
      <c r="G42" s="1009"/>
      <c r="H42" s="1010"/>
      <c r="I42" s="1019">
        <v>40546</v>
      </c>
      <c r="J42" s="1012">
        <v>18144000</v>
      </c>
      <c r="K42" s="1011">
        <v>0</v>
      </c>
      <c r="L42" s="1009">
        <v>1814400</v>
      </c>
      <c r="M42" s="1012">
        <v>18144000</v>
      </c>
      <c r="N42" s="1011"/>
      <c r="O42" s="1014">
        <f t="shared" si="2"/>
        <v>18144000</v>
      </c>
      <c r="P42" s="1014"/>
      <c r="Q42" s="1014"/>
      <c r="R42" s="1000">
        <f t="shared" si="1"/>
        <v>18144000</v>
      </c>
      <c r="S42" s="1015" t="s">
        <v>2116</v>
      </c>
      <c r="T42" s="1031">
        <v>11</v>
      </c>
    </row>
    <row r="43" spans="1:20" s="1030" customFormat="1" ht="21.95" customHeight="1">
      <c r="A43" s="1022"/>
      <c r="B43" s="1023"/>
      <c r="C43" s="1024"/>
      <c r="D43" s="1025"/>
      <c r="E43" s="1025"/>
      <c r="F43" s="1025"/>
      <c r="G43" s="1025"/>
      <c r="H43" s="1026"/>
      <c r="I43" s="1027" t="s">
        <v>287</v>
      </c>
      <c r="J43" s="1026">
        <f>J33+J34+J35+J36+J37+J38+J39+J40+J41+J42</f>
        <v>233576000</v>
      </c>
      <c r="K43" s="1026">
        <f>K33+K34+K35+K36+K37+K38+K39+K40</f>
        <v>205793100</v>
      </c>
      <c r="L43" s="1025">
        <f>L33+L34+L35+L36+L37+L38+L39+L40+L41+L42</f>
        <v>23357600</v>
      </c>
      <c r="M43" s="1026">
        <f>M41+M42</f>
        <v>27782900</v>
      </c>
      <c r="N43" s="1026">
        <v>0</v>
      </c>
      <c r="O43" s="1026">
        <f>K43+M43-N43</f>
        <v>233576000</v>
      </c>
      <c r="P43" s="1026"/>
      <c r="Q43" s="1026"/>
      <c r="R43" s="1000">
        <f t="shared" si="1"/>
        <v>233576000</v>
      </c>
      <c r="S43" s="1028"/>
      <c r="T43" s="1029"/>
    </row>
    <row r="44" spans="1:20" ht="33.75" customHeight="1">
      <c r="A44" s="993">
        <v>3</v>
      </c>
      <c r="B44" s="1017">
        <v>161415</v>
      </c>
      <c r="C44" s="1032" t="s">
        <v>2089</v>
      </c>
      <c r="D44" s="1009" t="s">
        <v>2090</v>
      </c>
      <c r="E44" s="1009" t="s">
        <v>2091</v>
      </c>
      <c r="F44" s="1009">
        <v>156</v>
      </c>
      <c r="G44" s="1009">
        <v>36</v>
      </c>
      <c r="H44" s="1010">
        <v>1095392000</v>
      </c>
      <c r="I44" s="1011" t="s">
        <v>2115</v>
      </c>
      <c r="J44" s="1011">
        <v>26589100</v>
      </c>
      <c r="K44" s="1011">
        <v>26589100</v>
      </c>
      <c r="L44" s="1009">
        <v>2658910</v>
      </c>
      <c r="M44" s="1012"/>
      <c r="N44" s="1011"/>
      <c r="O44" s="1014">
        <f>K44+M44</f>
        <v>26589100</v>
      </c>
      <c r="P44" s="1014"/>
      <c r="Q44" s="1014"/>
      <c r="R44" s="1000">
        <f t="shared" si="1"/>
        <v>26589100</v>
      </c>
      <c r="S44" s="1015" t="s">
        <v>2116</v>
      </c>
      <c r="T44" s="1016">
        <v>11</v>
      </c>
    </row>
    <row r="45" spans="1:20" ht="21.95" customHeight="1">
      <c r="B45" s="1017">
        <v>161415</v>
      </c>
      <c r="C45" s="1002"/>
      <c r="D45" s="1009" t="s">
        <v>2090</v>
      </c>
      <c r="E45" s="1009" t="s">
        <v>2091</v>
      </c>
      <c r="F45" s="1009">
        <v>156</v>
      </c>
      <c r="G45" s="1009">
        <v>36</v>
      </c>
      <c r="H45" s="1010"/>
      <c r="I45" s="1011" t="s">
        <v>2115</v>
      </c>
      <c r="J45" s="1011">
        <v>109539200</v>
      </c>
      <c r="K45" s="1011">
        <v>109539200</v>
      </c>
      <c r="L45" s="1009">
        <v>10953920</v>
      </c>
      <c r="M45" s="1012"/>
      <c r="N45" s="1011"/>
      <c r="O45" s="1014">
        <f t="shared" ref="O45:O63" si="3">K45+M45</f>
        <v>109539200</v>
      </c>
      <c r="P45" s="1014"/>
      <c r="Q45" s="1014"/>
      <c r="R45" s="1000">
        <f t="shared" si="1"/>
        <v>109539200</v>
      </c>
      <c r="S45" s="1015" t="s">
        <v>2116</v>
      </c>
      <c r="T45" s="1016">
        <v>11</v>
      </c>
    </row>
    <row r="46" spans="1:20" ht="21.95" customHeight="1">
      <c r="B46" s="1017">
        <v>161415</v>
      </c>
      <c r="C46" s="1002"/>
      <c r="D46" s="1009" t="s">
        <v>2090</v>
      </c>
      <c r="E46" s="1009" t="s">
        <v>2091</v>
      </c>
      <c r="F46" s="1009">
        <v>156</v>
      </c>
      <c r="G46" s="1009">
        <v>36</v>
      </c>
      <c r="H46" s="1010"/>
      <c r="I46" s="1011" t="s">
        <v>2103</v>
      </c>
      <c r="J46" s="1011">
        <v>45619200</v>
      </c>
      <c r="K46" s="1011">
        <v>45619200</v>
      </c>
      <c r="L46" s="1009">
        <v>4561920</v>
      </c>
      <c r="M46" s="1012"/>
      <c r="N46" s="1011"/>
      <c r="O46" s="1014">
        <f t="shared" si="3"/>
        <v>45619200</v>
      </c>
      <c r="P46" s="1014"/>
      <c r="Q46" s="1014"/>
      <c r="R46" s="1000">
        <f t="shared" si="1"/>
        <v>45619200</v>
      </c>
      <c r="S46" s="1015" t="s">
        <v>2116</v>
      </c>
      <c r="T46" s="1016">
        <v>11.5</v>
      </c>
    </row>
    <row r="47" spans="1:20" ht="21.95" customHeight="1">
      <c r="B47" s="1017">
        <v>161415</v>
      </c>
      <c r="C47" s="1002"/>
      <c r="D47" s="1009" t="s">
        <v>2090</v>
      </c>
      <c r="E47" s="1009" t="s">
        <v>2091</v>
      </c>
      <c r="F47" s="1009">
        <v>156</v>
      </c>
      <c r="G47" s="1009">
        <v>36</v>
      </c>
      <c r="H47" s="1010"/>
      <c r="I47" s="1011" t="s">
        <v>2122</v>
      </c>
      <c r="J47" s="1011">
        <v>12162400</v>
      </c>
      <c r="K47" s="1011">
        <v>12162400</v>
      </c>
      <c r="L47" s="1009">
        <v>1216240</v>
      </c>
      <c r="M47" s="1012"/>
      <c r="N47" s="1011"/>
      <c r="O47" s="1014">
        <f t="shared" si="3"/>
        <v>12162400</v>
      </c>
      <c r="P47" s="1014"/>
      <c r="Q47" s="1014"/>
      <c r="R47" s="1000">
        <f t="shared" si="1"/>
        <v>12162400</v>
      </c>
      <c r="S47" s="1015" t="s">
        <v>2116</v>
      </c>
      <c r="T47" s="1033">
        <v>12.5</v>
      </c>
    </row>
    <row r="48" spans="1:20" ht="21.95" customHeight="1">
      <c r="B48" s="1017">
        <v>161415</v>
      </c>
      <c r="C48" s="1002"/>
      <c r="D48" s="1009" t="s">
        <v>2090</v>
      </c>
      <c r="E48" s="1009" t="s">
        <v>2091</v>
      </c>
      <c r="F48" s="1009">
        <v>156</v>
      </c>
      <c r="G48" s="1009">
        <v>36</v>
      </c>
      <c r="H48" s="1010"/>
      <c r="I48" s="1011" t="s">
        <v>2123</v>
      </c>
      <c r="J48" s="1011">
        <v>39487400</v>
      </c>
      <c r="K48" s="1011">
        <v>39487400</v>
      </c>
      <c r="L48" s="1009">
        <v>3948740</v>
      </c>
      <c r="M48" s="1012"/>
      <c r="N48" s="1011"/>
      <c r="O48" s="1014">
        <f t="shared" si="3"/>
        <v>39487400</v>
      </c>
      <c r="P48" s="1014"/>
      <c r="Q48" s="1014"/>
      <c r="R48" s="1000">
        <f t="shared" si="1"/>
        <v>39487400</v>
      </c>
      <c r="S48" s="1015" t="s">
        <v>2116</v>
      </c>
      <c r="T48" s="1016">
        <v>13.5</v>
      </c>
    </row>
    <row r="49" spans="1:20" ht="21.95" customHeight="1">
      <c r="B49" s="1017">
        <v>161415</v>
      </c>
      <c r="C49" s="1002"/>
      <c r="D49" s="1009" t="s">
        <v>2090</v>
      </c>
      <c r="E49" s="1009" t="s">
        <v>2091</v>
      </c>
      <c r="F49" s="1009">
        <v>156</v>
      </c>
      <c r="G49" s="1009">
        <v>36</v>
      </c>
      <c r="H49" s="1010"/>
      <c r="I49" s="1011" t="s">
        <v>2107</v>
      </c>
      <c r="J49" s="1011">
        <v>57558600</v>
      </c>
      <c r="K49" s="1011">
        <v>57558600</v>
      </c>
      <c r="L49" s="1009">
        <v>5755860</v>
      </c>
      <c r="M49" s="1012"/>
      <c r="N49" s="1011"/>
      <c r="O49" s="1014">
        <f t="shared" si="3"/>
        <v>57558600</v>
      </c>
      <c r="P49" s="1014"/>
      <c r="Q49" s="1014"/>
      <c r="R49" s="1000">
        <f t="shared" si="1"/>
        <v>57558600</v>
      </c>
      <c r="S49" s="1015" t="s">
        <v>2116</v>
      </c>
      <c r="T49" s="1016">
        <v>12.75</v>
      </c>
    </row>
    <row r="50" spans="1:20" ht="21.95" customHeight="1">
      <c r="B50" s="1017">
        <v>161415</v>
      </c>
      <c r="C50" s="1002"/>
      <c r="D50" s="1009" t="s">
        <v>2090</v>
      </c>
      <c r="E50" s="1009" t="s">
        <v>2091</v>
      </c>
      <c r="F50" s="1009">
        <v>156</v>
      </c>
      <c r="G50" s="1009">
        <v>36</v>
      </c>
      <c r="H50" s="1010"/>
      <c r="I50" s="1011" t="s">
        <v>2120</v>
      </c>
      <c r="J50" s="1011">
        <v>5343200</v>
      </c>
      <c r="K50" s="1011">
        <v>5343200</v>
      </c>
      <c r="L50" s="1009">
        <v>534320</v>
      </c>
      <c r="M50" s="1012"/>
      <c r="N50" s="1011"/>
      <c r="O50" s="1014">
        <f t="shared" si="3"/>
        <v>5343200</v>
      </c>
      <c r="P50" s="1014"/>
      <c r="Q50" s="1014"/>
      <c r="R50" s="1000">
        <f t="shared" si="1"/>
        <v>5343200</v>
      </c>
      <c r="S50" s="1015" t="s">
        <v>2116</v>
      </c>
      <c r="T50" s="1016">
        <v>12</v>
      </c>
    </row>
    <row r="51" spans="1:20" ht="21.95" customHeight="1">
      <c r="B51" s="1017">
        <v>161415</v>
      </c>
      <c r="C51" s="1002"/>
      <c r="D51" s="1009" t="s">
        <v>2090</v>
      </c>
      <c r="E51" s="1009" t="s">
        <v>2091</v>
      </c>
      <c r="F51" s="1009">
        <v>156</v>
      </c>
      <c r="G51" s="1009">
        <v>36</v>
      </c>
      <c r="H51" s="1010"/>
      <c r="I51" s="1011" t="s">
        <v>2124</v>
      </c>
      <c r="J51" s="1011">
        <v>56760900</v>
      </c>
      <c r="K51" s="1011">
        <v>56760900</v>
      </c>
      <c r="L51" s="1009">
        <v>5676090</v>
      </c>
      <c r="M51" s="1012"/>
      <c r="N51" s="1011"/>
      <c r="O51" s="1014">
        <f t="shared" si="3"/>
        <v>56760900</v>
      </c>
      <c r="P51" s="1014"/>
      <c r="Q51" s="1014"/>
      <c r="R51" s="1000">
        <f t="shared" si="1"/>
        <v>56760900</v>
      </c>
      <c r="S51" s="1015" t="s">
        <v>2116</v>
      </c>
      <c r="T51" s="1016">
        <v>11.5</v>
      </c>
    </row>
    <row r="52" spans="1:20" ht="21.95" customHeight="1">
      <c r="B52" s="1017">
        <v>161415</v>
      </c>
      <c r="C52" s="1002"/>
      <c r="D52" s="1009" t="s">
        <v>2090</v>
      </c>
      <c r="E52" s="1009" t="s">
        <v>2091</v>
      </c>
      <c r="F52" s="1009">
        <v>156</v>
      </c>
      <c r="G52" s="1009">
        <v>36</v>
      </c>
      <c r="H52" s="1010"/>
      <c r="I52" s="1011" t="s">
        <v>2125</v>
      </c>
      <c r="J52" s="1011">
        <v>12549427</v>
      </c>
      <c r="K52" s="1011">
        <v>12549427</v>
      </c>
      <c r="L52" s="1009">
        <v>1254942</v>
      </c>
      <c r="M52" s="1012"/>
      <c r="N52" s="1011"/>
      <c r="O52" s="1014">
        <f t="shared" si="3"/>
        <v>12549427</v>
      </c>
      <c r="P52" s="1014"/>
      <c r="Q52" s="1014"/>
      <c r="R52" s="1000">
        <f t="shared" si="1"/>
        <v>12549427</v>
      </c>
      <c r="S52" s="1015" t="s">
        <v>2116</v>
      </c>
      <c r="T52" s="1016">
        <v>11.5</v>
      </c>
    </row>
    <row r="53" spans="1:20" ht="21.95" customHeight="1">
      <c r="B53" s="1017">
        <v>161415</v>
      </c>
      <c r="C53" s="1002"/>
      <c r="D53" s="1009" t="s">
        <v>2090</v>
      </c>
      <c r="E53" s="1009" t="s">
        <v>2091</v>
      </c>
      <c r="F53" s="1009">
        <v>156</v>
      </c>
      <c r="G53" s="1009">
        <v>36</v>
      </c>
      <c r="H53" s="1010"/>
      <c r="I53" s="1011" t="s">
        <v>2126</v>
      </c>
      <c r="J53" s="1011">
        <v>43501800</v>
      </c>
      <c r="K53" s="1011">
        <v>43501800</v>
      </c>
      <c r="L53" s="1009">
        <v>4350180</v>
      </c>
      <c r="M53" s="1012"/>
      <c r="N53" s="1011"/>
      <c r="O53" s="1014">
        <f t="shared" si="3"/>
        <v>43501800</v>
      </c>
      <c r="P53" s="1014"/>
      <c r="Q53" s="1014"/>
      <c r="R53" s="1000">
        <f t="shared" si="1"/>
        <v>43501800</v>
      </c>
      <c r="S53" s="1015" t="s">
        <v>2116</v>
      </c>
      <c r="T53" s="1016">
        <v>11</v>
      </c>
    </row>
    <row r="54" spans="1:20" ht="21.95" customHeight="1">
      <c r="B54" s="1017">
        <v>161415</v>
      </c>
      <c r="C54" s="1002"/>
      <c r="D54" s="1009" t="s">
        <v>2090</v>
      </c>
      <c r="E54" s="1009" t="s">
        <v>2091</v>
      </c>
      <c r="F54" s="1009">
        <v>156</v>
      </c>
      <c r="G54" s="1009">
        <v>36</v>
      </c>
      <c r="H54" s="1010"/>
      <c r="I54" s="1011" t="s">
        <v>2127</v>
      </c>
      <c r="J54" s="1011">
        <v>74420400</v>
      </c>
      <c r="K54" s="1011">
        <v>74420400</v>
      </c>
      <c r="L54" s="1009">
        <v>7442040</v>
      </c>
      <c r="M54" s="1012"/>
      <c r="N54" s="1011"/>
      <c r="O54" s="1014">
        <f t="shared" si="3"/>
        <v>74420400</v>
      </c>
      <c r="P54" s="1014"/>
      <c r="Q54" s="1014"/>
      <c r="R54" s="1000">
        <f t="shared" si="1"/>
        <v>74420400</v>
      </c>
      <c r="S54" s="1015" t="s">
        <v>2116</v>
      </c>
      <c r="T54" s="1016">
        <v>11</v>
      </c>
    </row>
    <row r="55" spans="1:20" ht="21.95" customHeight="1">
      <c r="B55" s="1017">
        <v>161415</v>
      </c>
      <c r="C55" s="1002"/>
      <c r="D55" s="1009" t="s">
        <v>2090</v>
      </c>
      <c r="E55" s="1009" t="s">
        <v>2091</v>
      </c>
      <c r="F55" s="1009">
        <v>156</v>
      </c>
      <c r="G55" s="1009">
        <v>36</v>
      </c>
      <c r="H55" s="1010"/>
      <c r="I55" s="1011" t="s">
        <v>2128</v>
      </c>
      <c r="J55" s="1012">
        <v>57306200</v>
      </c>
      <c r="K55" s="1011">
        <v>0</v>
      </c>
      <c r="L55" s="1009">
        <v>5730620</v>
      </c>
      <c r="M55" s="1012">
        <v>57306200</v>
      </c>
      <c r="N55" s="1011"/>
      <c r="O55" s="1014">
        <f t="shared" si="3"/>
        <v>57306200</v>
      </c>
      <c r="P55" s="1034"/>
      <c r="Q55" s="1034"/>
      <c r="R55" s="1000">
        <f t="shared" si="1"/>
        <v>57306200</v>
      </c>
      <c r="S55" s="1015" t="s">
        <v>2116</v>
      </c>
      <c r="T55" s="1016">
        <v>11</v>
      </c>
    </row>
    <row r="56" spans="1:20" ht="21.95" customHeight="1">
      <c r="B56" s="1017">
        <v>161415</v>
      </c>
      <c r="C56" s="1002"/>
      <c r="D56" s="1009" t="s">
        <v>2090</v>
      </c>
      <c r="E56" s="1009" t="s">
        <v>2091</v>
      </c>
      <c r="F56" s="1009">
        <v>156</v>
      </c>
      <c r="G56" s="1009">
        <v>36</v>
      </c>
      <c r="H56" s="1010"/>
      <c r="I56" s="1011" t="s">
        <v>2129</v>
      </c>
      <c r="J56" s="1012">
        <v>20490000</v>
      </c>
      <c r="K56" s="1011">
        <v>0</v>
      </c>
      <c r="L56" s="1009">
        <v>2049000</v>
      </c>
      <c r="M56" s="1012">
        <v>20490000</v>
      </c>
      <c r="N56" s="1011"/>
      <c r="O56" s="1014">
        <f t="shared" si="3"/>
        <v>20490000</v>
      </c>
      <c r="P56" s="1034"/>
      <c r="Q56" s="1034"/>
      <c r="R56" s="1000">
        <f t="shared" si="1"/>
        <v>20490000</v>
      </c>
      <c r="S56" s="1015" t="s">
        <v>2116</v>
      </c>
      <c r="T56" s="1016">
        <v>11</v>
      </c>
    </row>
    <row r="57" spans="1:20" ht="21.95" customHeight="1">
      <c r="B57" s="1017">
        <v>161415</v>
      </c>
      <c r="C57" s="1002"/>
      <c r="D57" s="1009" t="s">
        <v>2090</v>
      </c>
      <c r="E57" s="1009" t="s">
        <v>2091</v>
      </c>
      <c r="F57" s="1009">
        <v>156</v>
      </c>
      <c r="G57" s="1009">
        <v>36</v>
      </c>
      <c r="H57" s="1010"/>
      <c r="I57" s="1019">
        <v>40443</v>
      </c>
      <c r="J57" s="1012">
        <v>142964800</v>
      </c>
      <c r="K57" s="1011">
        <v>0</v>
      </c>
      <c r="L57" s="1009">
        <v>14296480</v>
      </c>
      <c r="M57" s="1012">
        <v>142964800</v>
      </c>
      <c r="N57" s="1011"/>
      <c r="O57" s="1014">
        <f t="shared" si="3"/>
        <v>142964800</v>
      </c>
      <c r="P57" s="1034"/>
      <c r="Q57" s="1034"/>
      <c r="R57" s="1000">
        <f t="shared" si="1"/>
        <v>142964800</v>
      </c>
      <c r="S57" s="1015" t="s">
        <v>2116</v>
      </c>
      <c r="T57" s="1016">
        <v>11</v>
      </c>
    </row>
    <row r="58" spans="1:20" ht="21.95" customHeight="1">
      <c r="B58" s="1017">
        <v>161415</v>
      </c>
      <c r="C58" s="1002"/>
      <c r="D58" s="1009" t="s">
        <v>2090</v>
      </c>
      <c r="E58" s="1009" t="s">
        <v>2091</v>
      </c>
      <c r="F58" s="1009">
        <v>156</v>
      </c>
      <c r="G58" s="1009">
        <v>36</v>
      </c>
      <c r="H58" s="1010"/>
      <c r="I58" s="1019">
        <v>40471</v>
      </c>
      <c r="J58" s="1012">
        <v>45691000</v>
      </c>
      <c r="K58" s="1011">
        <v>0</v>
      </c>
      <c r="L58" s="1009">
        <v>4569100</v>
      </c>
      <c r="M58" s="1012">
        <v>45691000</v>
      </c>
      <c r="N58" s="1011"/>
      <c r="O58" s="1014">
        <f t="shared" si="3"/>
        <v>45691000</v>
      </c>
      <c r="P58" s="1034"/>
      <c r="Q58" s="1034"/>
      <c r="R58" s="1000">
        <f t="shared" si="1"/>
        <v>45691000</v>
      </c>
      <c r="S58" s="1015" t="s">
        <v>2116</v>
      </c>
      <c r="T58" s="1016">
        <v>11</v>
      </c>
    </row>
    <row r="59" spans="1:20" ht="21.95" customHeight="1">
      <c r="B59" s="1017"/>
      <c r="C59" s="1002"/>
      <c r="D59" s="1009"/>
      <c r="E59" s="1009"/>
      <c r="F59" s="1009"/>
      <c r="G59" s="1009"/>
      <c r="H59" s="1010"/>
      <c r="I59" s="1019">
        <v>40525</v>
      </c>
      <c r="J59" s="1012">
        <v>4560000</v>
      </c>
      <c r="K59" s="1011">
        <v>0</v>
      </c>
      <c r="L59" s="1009">
        <v>456000</v>
      </c>
      <c r="M59" s="1012">
        <v>4560000</v>
      </c>
      <c r="N59" s="1011"/>
      <c r="O59" s="1014">
        <f t="shared" si="3"/>
        <v>4560000</v>
      </c>
      <c r="P59" s="1034"/>
      <c r="Q59" s="1034"/>
      <c r="R59" s="1000">
        <f t="shared" si="1"/>
        <v>4560000</v>
      </c>
      <c r="S59" s="1015" t="s">
        <v>2116</v>
      </c>
      <c r="T59" s="1016">
        <v>11</v>
      </c>
    </row>
    <row r="60" spans="1:20" ht="21.95" customHeight="1">
      <c r="B60" s="1017"/>
      <c r="C60" s="1002"/>
      <c r="D60" s="1009"/>
      <c r="E60" s="1009"/>
      <c r="F60" s="1009"/>
      <c r="G60" s="1009"/>
      <c r="H60" s="1010"/>
      <c r="I60" s="1019">
        <v>40542</v>
      </c>
      <c r="J60" s="1012">
        <v>6145100</v>
      </c>
      <c r="K60" s="1011">
        <v>0</v>
      </c>
      <c r="L60" s="1009">
        <v>614510</v>
      </c>
      <c r="M60" s="1012">
        <v>6145100</v>
      </c>
      <c r="N60" s="1011"/>
      <c r="O60" s="1014">
        <f t="shared" si="3"/>
        <v>6145100</v>
      </c>
      <c r="P60" s="1034"/>
      <c r="Q60" s="1034"/>
      <c r="R60" s="1000">
        <f t="shared" si="1"/>
        <v>6145100</v>
      </c>
      <c r="S60" s="1015" t="s">
        <v>2116</v>
      </c>
      <c r="T60" s="1016">
        <v>11</v>
      </c>
    </row>
    <row r="61" spans="1:20" ht="21.95" customHeight="1">
      <c r="B61" s="1017"/>
      <c r="C61" s="1002"/>
      <c r="D61" s="1009"/>
      <c r="E61" s="1009"/>
      <c r="F61" s="1009"/>
      <c r="G61" s="1009"/>
      <c r="H61" s="1010"/>
      <c r="I61" s="1019">
        <v>40578</v>
      </c>
      <c r="J61" s="1012">
        <v>30857000</v>
      </c>
      <c r="K61" s="1011">
        <v>0</v>
      </c>
      <c r="L61" s="1009">
        <v>3085700</v>
      </c>
      <c r="M61" s="1012">
        <v>30857000</v>
      </c>
      <c r="N61" s="1011"/>
      <c r="O61" s="1014">
        <f t="shared" si="3"/>
        <v>30857000</v>
      </c>
      <c r="P61" s="1034"/>
      <c r="Q61" s="1034"/>
      <c r="R61" s="1000">
        <f t="shared" si="1"/>
        <v>30857000</v>
      </c>
      <c r="S61" s="1015" t="s">
        <v>2116</v>
      </c>
      <c r="T61" s="1016">
        <v>11</v>
      </c>
    </row>
    <row r="62" spans="1:20" ht="21.95" customHeight="1">
      <c r="B62" s="1017"/>
      <c r="C62" s="1002"/>
      <c r="D62" s="1009"/>
      <c r="E62" s="1009"/>
      <c r="F62" s="1009"/>
      <c r="G62" s="1009"/>
      <c r="H62" s="1010"/>
      <c r="I62" s="1019">
        <v>40620</v>
      </c>
      <c r="J62" s="1012">
        <v>13863600</v>
      </c>
      <c r="K62" s="1011"/>
      <c r="L62" s="1009">
        <v>1386360</v>
      </c>
      <c r="M62" s="1012">
        <v>13863600</v>
      </c>
      <c r="N62" s="1011"/>
      <c r="O62" s="1014">
        <f t="shared" si="3"/>
        <v>13863600</v>
      </c>
      <c r="P62" s="1034"/>
      <c r="Q62" s="1034"/>
      <c r="R62" s="1000">
        <f t="shared" si="1"/>
        <v>13863600</v>
      </c>
      <c r="S62" s="1015" t="s">
        <v>2116</v>
      </c>
      <c r="T62" s="1016">
        <v>11.5</v>
      </c>
    </row>
    <row r="63" spans="1:20" ht="21.95" customHeight="1">
      <c r="B63" s="1017"/>
      <c r="C63" s="1002"/>
      <c r="D63" s="1009"/>
      <c r="E63" s="1009"/>
      <c r="F63" s="1009"/>
      <c r="G63" s="1009"/>
      <c r="H63" s="1010"/>
      <c r="I63" s="1019" t="s">
        <v>2130</v>
      </c>
      <c r="J63" s="1012">
        <v>69632800</v>
      </c>
      <c r="K63" s="1011"/>
      <c r="L63" s="1009">
        <v>6963280</v>
      </c>
      <c r="N63" s="1011"/>
      <c r="O63" s="1014">
        <f t="shared" si="3"/>
        <v>0</v>
      </c>
      <c r="P63" s="1034"/>
      <c r="Q63" s="1012">
        <v>69632800</v>
      </c>
      <c r="R63" s="1000">
        <f t="shared" si="1"/>
        <v>69632800</v>
      </c>
      <c r="S63" s="1015" t="s">
        <v>2116</v>
      </c>
      <c r="T63" s="1016">
        <v>12.25</v>
      </c>
    </row>
    <row r="64" spans="1:20" s="1030" customFormat="1" ht="21.95" customHeight="1">
      <c r="A64" s="1022"/>
      <c r="B64" s="1023"/>
      <c r="C64" s="1024"/>
      <c r="D64" s="1025"/>
      <c r="E64" s="1025"/>
      <c r="F64" s="1025"/>
      <c r="G64" s="1025"/>
      <c r="H64" s="1026"/>
      <c r="I64" s="1027" t="s">
        <v>287</v>
      </c>
      <c r="J64" s="1035">
        <f>J44+J45+J46+J47+J48+J49+J50+J51+J52+J53+J54+J55+J56+J57+J58+J59+J60+J61+J62+J63</f>
        <v>875042127</v>
      </c>
      <c r="K64" s="1035">
        <f>K44+K45+K46+K47+K48+K49+K50+K51+K52+K53+K54</f>
        <v>483531627</v>
      </c>
      <c r="L64" s="1025">
        <f>L44+L45+L46+L47+L48+L49+L50+L51+L52+L53+L54+L55+L56+L57+L58+L59+L60+L61+L62+L63</f>
        <v>87504212</v>
      </c>
      <c r="M64" s="1035">
        <f>SUM(M44:M63)</f>
        <v>321877700</v>
      </c>
      <c r="N64" s="1035">
        <f>SUM(N44:N58)</f>
        <v>0</v>
      </c>
      <c r="O64" s="1035">
        <f>K64+M64-N64</f>
        <v>805409327</v>
      </c>
      <c r="P64" s="1035"/>
      <c r="Q64" s="1035">
        <f>Q63</f>
        <v>69632800</v>
      </c>
      <c r="R64" s="1000">
        <f t="shared" si="1"/>
        <v>875042127</v>
      </c>
      <c r="S64" s="1028"/>
      <c r="T64" s="1029"/>
    </row>
    <row r="65" spans="1:20" ht="39.75" customHeight="1">
      <c r="A65" s="993">
        <v>4</v>
      </c>
      <c r="B65" s="1017">
        <v>161416</v>
      </c>
      <c r="C65" s="1032" t="s">
        <v>2089</v>
      </c>
      <c r="D65" s="1009" t="s">
        <v>2090</v>
      </c>
      <c r="E65" s="1009" t="s">
        <v>2091</v>
      </c>
      <c r="F65" s="1009">
        <v>156</v>
      </c>
      <c r="G65" s="1009">
        <v>36</v>
      </c>
      <c r="H65" s="1010">
        <v>780539000</v>
      </c>
      <c r="I65" s="1011" t="s">
        <v>2115</v>
      </c>
      <c r="J65" s="1011">
        <v>15480000</v>
      </c>
      <c r="K65" s="1011">
        <v>15480000</v>
      </c>
      <c r="L65" s="1009">
        <v>1548000</v>
      </c>
      <c r="M65" s="1012"/>
      <c r="N65" s="1011"/>
      <c r="O65" s="1014">
        <f>K65+M65</f>
        <v>15480000</v>
      </c>
      <c r="P65" s="1014"/>
      <c r="Q65" s="1014"/>
      <c r="R65" s="1000">
        <f t="shared" si="1"/>
        <v>15480000</v>
      </c>
      <c r="S65" s="1015" t="s">
        <v>2116</v>
      </c>
      <c r="T65" s="1016">
        <v>11</v>
      </c>
    </row>
    <row r="66" spans="1:20" ht="17.25" customHeight="1">
      <c r="B66" s="1017">
        <v>161416</v>
      </c>
      <c r="C66" s="1002"/>
      <c r="D66" s="1009" t="s">
        <v>2090</v>
      </c>
      <c r="E66" s="1009" t="s">
        <v>2091</v>
      </c>
      <c r="F66" s="1009">
        <v>156</v>
      </c>
      <c r="G66" s="1009">
        <v>36</v>
      </c>
      <c r="H66" s="1010"/>
      <c r="I66" s="1011" t="s">
        <v>2115</v>
      </c>
      <c r="J66" s="1011">
        <v>117080900</v>
      </c>
      <c r="K66" s="1011">
        <v>117080900</v>
      </c>
      <c r="L66" s="1009">
        <v>11708090</v>
      </c>
      <c r="M66" s="1012"/>
      <c r="N66" s="1011"/>
      <c r="O66" s="1014">
        <f t="shared" ref="O66:O81" si="4">K66+M66</f>
        <v>117080900</v>
      </c>
      <c r="P66" s="1014"/>
      <c r="Q66" s="1014"/>
      <c r="R66" s="1000">
        <f t="shared" si="1"/>
        <v>117080900</v>
      </c>
      <c r="S66" s="1015" t="s">
        <v>2116</v>
      </c>
      <c r="T66" s="1016">
        <v>11</v>
      </c>
    </row>
    <row r="67" spans="1:20" ht="17.25" customHeight="1">
      <c r="B67" s="1017">
        <v>161416</v>
      </c>
      <c r="C67" s="1002"/>
      <c r="D67" s="1009" t="s">
        <v>2090</v>
      </c>
      <c r="E67" s="1009" t="s">
        <v>2091</v>
      </c>
      <c r="F67" s="1009">
        <v>156</v>
      </c>
      <c r="G67" s="1009">
        <v>36</v>
      </c>
      <c r="H67" s="1010"/>
      <c r="I67" s="1011" t="s">
        <v>2131</v>
      </c>
      <c r="J67" s="1011">
        <v>7741600</v>
      </c>
      <c r="K67" s="1011">
        <v>7741600</v>
      </c>
      <c r="L67" s="1009">
        <v>774160</v>
      </c>
      <c r="M67" s="1012"/>
      <c r="N67" s="1011"/>
      <c r="O67" s="1014">
        <f t="shared" si="4"/>
        <v>7741600</v>
      </c>
      <c r="P67" s="1014"/>
      <c r="Q67" s="1014"/>
      <c r="R67" s="1000">
        <f t="shared" si="1"/>
        <v>7741600</v>
      </c>
      <c r="S67" s="1015" t="s">
        <v>2116</v>
      </c>
      <c r="T67" s="1016">
        <v>11.5</v>
      </c>
    </row>
    <row r="68" spans="1:20" ht="17.25" customHeight="1">
      <c r="B68" s="1017">
        <v>161416</v>
      </c>
      <c r="C68" s="1002"/>
      <c r="D68" s="1009" t="s">
        <v>2090</v>
      </c>
      <c r="E68" s="1009" t="s">
        <v>2091</v>
      </c>
      <c r="F68" s="1009">
        <v>156</v>
      </c>
      <c r="G68" s="1009">
        <v>36</v>
      </c>
      <c r="H68" s="1010"/>
      <c r="I68" s="1011" t="s">
        <v>2132</v>
      </c>
      <c r="J68" s="1011">
        <v>20321700</v>
      </c>
      <c r="K68" s="1011">
        <v>20321700</v>
      </c>
      <c r="L68" s="1009">
        <v>2032170</v>
      </c>
      <c r="M68" s="1012"/>
      <c r="N68" s="1011"/>
      <c r="O68" s="1014">
        <f t="shared" si="4"/>
        <v>20321700</v>
      </c>
      <c r="P68" s="1014"/>
      <c r="Q68" s="1014"/>
      <c r="R68" s="1000">
        <f t="shared" si="1"/>
        <v>20321700</v>
      </c>
      <c r="S68" s="1015" t="s">
        <v>2116</v>
      </c>
      <c r="T68" s="1018">
        <v>12.25</v>
      </c>
    </row>
    <row r="69" spans="1:20" ht="17.25" customHeight="1">
      <c r="B69" s="1017">
        <v>161416</v>
      </c>
      <c r="C69" s="1002"/>
      <c r="D69" s="1009" t="s">
        <v>2090</v>
      </c>
      <c r="E69" s="1009" t="s">
        <v>2091</v>
      </c>
      <c r="F69" s="1009">
        <v>156</v>
      </c>
      <c r="G69" s="1009">
        <v>36</v>
      </c>
      <c r="H69" s="1010"/>
      <c r="I69" s="1011" t="s">
        <v>2122</v>
      </c>
      <c r="J69" s="1011">
        <v>14683000</v>
      </c>
      <c r="K69" s="1011">
        <v>14683000</v>
      </c>
      <c r="L69" s="1009">
        <v>1468300</v>
      </c>
      <c r="M69" s="1012"/>
      <c r="N69" s="1011"/>
      <c r="O69" s="1014">
        <f t="shared" si="4"/>
        <v>14683000</v>
      </c>
      <c r="P69" s="1014"/>
      <c r="Q69" s="1014"/>
      <c r="R69" s="1000">
        <f t="shared" ref="R69:R104" si="5">O69-P69+Q69</f>
        <v>14683000</v>
      </c>
      <c r="S69" s="1015" t="s">
        <v>2116</v>
      </c>
      <c r="T69" s="1018">
        <v>12.5</v>
      </c>
    </row>
    <row r="70" spans="1:20" ht="17.25" customHeight="1">
      <c r="B70" s="1017">
        <v>161416</v>
      </c>
      <c r="C70" s="1002"/>
      <c r="D70" s="1009" t="s">
        <v>2090</v>
      </c>
      <c r="E70" s="1009" t="s">
        <v>2091</v>
      </c>
      <c r="F70" s="1009">
        <v>156</v>
      </c>
      <c r="G70" s="1009">
        <v>36</v>
      </c>
      <c r="H70" s="1010"/>
      <c r="I70" s="1011" t="s">
        <v>2105</v>
      </c>
      <c r="J70" s="1011">
        <v>72161200</v>
      </c>
      <c r="K70" s="1011">
        <v>72161200</v>
      </c>
      <c r="L70" s="1009">
        <v>7216120</v>
      </c>
      <c r="M70" s="1012"/>
      <c r="N70" s="1011"/>
      <c r="O70" s="1014">
        <f t="shared" si="4"/>
        <v>72161200</v>
      </c>
      <c r="P70" s="1014"/>
      <c r="Q70" s="1014"/>
      <c r="R70" s="1000">
        <f t="shared" si="5"/>
        <v>72161200</v>
      </c>
      <c r="S70" s="1015" t="s">
        <v>2116</v>
      </c>
      <c r="T70" s="1016">
        <v>13.5</v>
      </c>
    </row>
    <row r="71" spans="1:20" ht="17.25" customHeight="1">
      <c r="B71" s="1017">
        <v>161416</v>
      </c>
      <c r="C71" s="1002"/>
      <c r="D71" s="1009" t="s">
        <v>2090</v>
      </c>
      <c r="E71" s="1009" t="s">
        <v>2091</v>
      </c>
      <c r="F71" s="1009">
        <v>156</v>
      </c>
      <c r="G71" s="1009">
        <v>36</v>
      </c>
      <c r="H71" s="1010"/>
      <c r="I71" s="1011" t="s">
        <v>2123</v>
      </c>
      <c r="J71" s="1011">
        <v>17898100</v>
      </c>
      <c r="K71" s="1011">
        <v>17898100</v>
      </c>
      <c r="L71" s="1009">
        <v>1789810</v>
      </c>
      <c r="M71" s="1012"/>
      <c r="N71" s="1011"/>
      <c r="O71" s="1014">
        <f t="shared" si="4"/>
        <v>17898100</v>
      </c>
      <c r="P71" s="1014"/>
      <c r="Q71" s="1014"/>
      <c r="R71" s="1000">
        <f t="shared" si="5"/>
        <v>17898100</v>
      </c>
      <c r="S71" s="1015" t="s">
        <v>2116</v>
      </c>
      <c r="T71" s="1016">
        <v>13.5</v>
      </c>
    </row>
    <row r="72" spans="1:20" ht="17.25" customHeight="1">
      <c r="B72" s="1017">
        <v>161416</v>
      </c>
      <c r="C72" s="1002"/>
      <c r="D72" s="1009" t="s">
        <v>2090</v>
      </c>
      <c r="E72" s="1009" t="s">
        <v>2091</v>
      </c>
      <c r="F72" s="1009">
        <v>156</v>
      </c>
      <c r="G72" s="1009">
        <v>36</v>
      </c>
      <c r="H72" s="1010"/>
      <c r="I72" s="1011" t="s">
        <v>2133</v>
      </c>
      <c r="J72" s="1011">
        <v>11553100</v>
      </c>
      <c r="K72" s="1011">
        <v>11553100</v>
      </c>
      <c r="L72" s="1009">
        <v>1155310</v>
      </c>
      <c r="M72" s="1012"/>
      <c r="N72" s="1011"/>
      <c r="O72" s="1014">
        <f t="shared" si="4"/>
        <v>11553100</v>
      </c>
      <c r="P72" s="1014"/>
      <c r="Q72" s="1014"/>
      <c r="R72" s="1000">
        <f t="shared" si="5"/>
        <v>11553100</v>
      </c>
      <c r="S72" s="1015" t="s">
        <v>2116</v>
      </c>
      <c r="T72" s="1016">
        <v>12.75</v>
      </c>
    </row>
    <row r="73" spans="1:20" ht="17.25" customHeight="1">
      <c r="B73" s="1017">
        <v>161416</v>
      </c>
      <c r="C73" s="1002"/>
      <c r="D73" s="1009" t="s">
        <v>2090</v>
      </c>
      <c r="E73" s="1009" t="s">
        <v>2091</v>
      </c>
      <c r="F73" s="1009">
        <v>156</v>
      </c>
      <c r="G73" s="1009">
        <v>36</v>
      </c>
      <c r="H73" s="1010"/>
      <c r="I73" s="1011" t="s">
        <v>2134</v>
      </c>
      <c r="J73" s="1011">
        <v>6765500</v>
      </c>
      <c r="K73" s="1011">
        <v>6765500</v>
      </c>
      <c r="L73" s="1009">
        <v>676550</v>
      </c>
      <c r="M73" s="1012"/>
      <c r="N73" s="1011"/>
      <c r="O73" s="1014">
        <f t="shared" si="4"/>
        <v>6765500</v>
      </c>
      <c r="P73" s="1014"/>
      <c r="Q73" s="1014"/>
      <c r="R73" s="1000">
        <f t="shared" si="5"/>
        <v>6765500</v>
      </c>
      <c r="S73" s="1015" t="s">
        <v>2116</v>
      </c>
      <c r="T73" s="1016">
        <v>11.5</v>
      </c>
    </row>
    <row r="74" spans="1:20" ht="17.25" customHeight="1">
      <c r="B74" s="1017">
        <v>161416</v>
      </c>
      <c r="C74" s="1002"/>
      <c r="D74" s="1009" t="s">
        <v>2090</v>
      </c>
      <c r="E74" s="1009" t="s">
        <v>2091</v>
      </c>
      <c r="F74" s="1009">
        <v>156</v>
      </c>
      <c r="G74" s="1009">
        <v>36</v>
      </c>
      <c r="H74" s="1010"/>
      <c r="I74" s="1011" t="s">
        <v>2125</v>
      </c>
      <c r="J74" s="1011">
        <v>1753000</v>
      </c>
      <c r="K74" s="1011">
        <v>1753000</v>
      </c>
      <c r="L74" s="1009">
        <v>175300</v>
      </c>
      <c r="M74" s="1012"/>
      <c r="N74" s="1011"/>
      <c r="O74" s="1014">
        <f t="shared" si="4"/>
        <v>1753000</v>
      </c>
      <c r="P74" s="1014"/>
      <c r="Q74" s="1014"/>
      <c r="R74" s="1000">
        <f t="shared" si="5"/>
        <v>1753000</v>
      </c>
      <c r="S74" s="1015" t="s">
        <v>2116</v>
      </c>
      <c r="T74" s="1016">
        <v>11.5</v>
      </c>
    </row>
    <row r="75" spans="1:20" ht="17.25" customHeight="1">
      <c r="B75" s="1017">
        <v>161416</v>
      </c>
      <c r="C75" s="1002"/>
      <c r="D75" s="1009" t="s">
        <v>2090</v>
      </c>
      <c r="E75" s="1009" t="s">
        <v>2091</v>
      </c>
      <c r="F75" s="1009">
        <v>156</v>
      </c>
      <c r="G75" s="1009">
        <v>36</v>
      </c>
      <c r="H75" s="1010"/>
      <c r="I75" s="1011" t="s">
        <v>2112</v>
      </c>
      <c r="J75" s="1011">
        <v>15725800</v>
      </c>
      <c r="K75" s="1011">
        <v>15725800</v>
      </c>
      <c r="L75" s="1009">
        <v>1572580</v>
      </c>
      <c r="M75" s="1012"/>
      <c r="N75" s="1011"/>
      <c r="O75" s="1014">
        <f t="shared" si="4"/>
        <v>15725800</v>
      </c>
      <c r="P75" s="1014"/>
      <c r="Q75" s="1014"/>
      <c r="R75" s="1000">
        <f t="shared" si="5"/>
        <v>15725800</v>
      </c>
      <c r="S75" s="1015" t="s">
        <v>2116</v>
      </c>
      <c r="T75" s="1016">
        <v>11</v>
      </c>
    </row>
    <row r="76" spans="1:20" ht="17.25" customHeight="1">
      <c r="B76" s="1017">
        <v>161416</v>
      </c>
      <c r="C76" s="1002"/>
      <c r="D76" s="1009" t="s">
        <v>2090</v>
      </c>
      <c r="E76" s="1009" t="s">
        <v>2091</v>
      </c>
      <c r="F76" s="1009">
        <v>156</v>
      </c>
      <c r="G76" s="1009">
        <v>36</v>
      </c>
      <c r="H76" s="1010"/>
      <c r="I76" s="1011" t="s">
        <v>2135</v>
      </c>
      <c r="J76" s="1011">
        <v>10394500</v>
      </c>
      <c r="K76" s="1011">
        <v>10394500</v>
      </c>
      <c r="L76" s="1009">
        <v>1039450</v>
      </c>
      <c r="M76" s="1012"/>
      <c r="N76" s="1011"/>
      <c r="O76" s="1014">
        <f t="shared" si="4"/>
        <v>10394500</v>
      </c>
      <c r="P76" s="1014"/>
      <c r="Q76" s="1014"/>
      <c r="R76" s="1000">
        <f t="shared" si="5"/>
        <v>10394500</v>
      </c>
      <c r="S76" s="1015" t="s">
        <v>2116</v>
      </c>
      <c r="T76" s="1016">
        <v>11</v>
      </c>
    </row>
    <row r="77" spans="1:20" ht="17.25" customHeight="1">
      <c r="B77" s="1017">
        <v>161416</v>
      </c>
      <c r="C77" s="1002"/>
      <c r="D77" s="1009" t="s">
        <v>2090</v>
      </c>
      <c r="E77" s="1009" t="s">
        <v>2091</v>
      </c>
      <c r="F77" s="1009">
        <v>156</v>
      </c>
      <c r="G77" s="1009">
        <v>36</v>
      </c>
      <c r="H77" s="1010"/>
      <c r="I77" s="1019">
        <v>40480</v>
      </c>
      <c r="J77" s="1012">
        <v>5535200</v>
      </c>
      <c r="K77" s="1011">
        <v>0</v>
      </c>
      <c r="L77" s="1009">
        <v>553520</v>
      </c>
      <c r="M77" s="1012">
        <v>5535200</v>
      </c>
      <c r="N77" s="1011">
        <v>0</v>
      </c>
      <c r="O77" s="1014">
        <f t="shared" si="4"/>
        <v>5535200</v>
      </c>
      <c r="P77" s="1014"/>
      <c r="Q77" s="1014"/>
      <c r="R77" s="1000">
        <f t="shared" si="5"/>
        <v>5535200</v>
      </c>
      <c r="S77" s="1015" t="s">
        <v>2116</v>
      </c>
      <c r="T77" s="1016">
        <v>11</v>
      </c>
    </row>
    <row r="78" spans="1:20" ht="17.25" customHeight="1">
      <c r="B78" s="1017">
        <v>161416</v>
      </c>
      <c r="C78" s="1002"/>
      <c r="D78" s="1009"/>
      <c r="E78" s="1009"/>
      <c r="F78" s="1009"/>
      <c r="G78" s="1009"/>
      <c r="H78" s="1010"/>
      <c r="I78" s="1019">
        <v>40513</v>
      </c>
      <c r="J78" s="1012">
        <v>10392000</v>
      </c>
      <c r="K78" s="1011">
        <v>0</v>
      </c>
      <c r="L78" s="1009">
        <v>1039200</v>
      </c>
      <c r="M78" s="1012">
        <v>10392000</v>
      </c>
      <c r="N78" s="1011"/>
      <c r="O78" s="1014">
        <f t="shared" si="4"/>
        <v>10392000</v>
      </c>
      <c r="P78" s="1014"/>
      <c r="Q78" s="1014"/>
      <c r="R78" s="1000">
        <f t="shared" si="5"/>
        <v>10392000</v>
      </c>
      <c r="S78" s="1015" t="s">
        <v>2116</v>
      </c>
      <c r="T78" s="1016">
        <v>11</v>
      </c>
    </row>
    <row r="79" spans="1:20" ht="17.25" customHeight="1">
      <c r="B79" s="1017">
        <v>161416</v>
      </c>
      <c r="C79" s="1002"/>
      <c r="D79" s="1009"/>
      <c r="E79" s="1009"/>
      <c r="F79" s="1009"/>
      <c r="G79" s="1009"/>
      <c r="H79" s="1010"/>
      <c r="I79" s="1019">
        <v>40537</v>
      </c>
      <c r="J79" s="1012">
        <v>3181200</v>
      </c>
      <c r="K79" s="1011">
        <v>0</v>
      </c>
      <c r="L79" s="1009">
        <v>318120</v>
      </c>
      <c r="M79" s="1012">
        <v>3181200</v>
      </c>
      <c r="N79" s="1011"/>
      <c r="O79" s="1014">
        <f t="shared" si="4"/>
        <v>3181200</v>
      </c>
      <c r="P79" s="1014"/>
      <c r="Q79" s="1014"/>
      <c r="R79" s="1000">
        <f t="shared" si="5"/>
        <v>3181200</v>
      </c>
      <c r="S79" s="1015" t="s">
        <v>2116</v>
      </c>
      <c r="T79" s="1016">
        <v>11</v>
      </c>
    </row>
    <row r="80" spans="1:20" ht="17.25" customHeight="1">
      <c r="B80" s="1017">
        <v>161416</v>
      </c>
      <c r="C80" s="1002"/>
      <c r="D80" s="1009"/>
      <c r="E80" s="1009"/>
      <c r="F80" s="1009"/>
      <c r="G80" s="1009"/>
      <c r="H80" s="1010"/>
      <c r="I80" s="1019">
        <v>40541</v>
      </c>
      <c r="J80" s="1012">
        <v>79988100</v>
      </c>
      <c r="K80" s="1011">
        <v>0</v>
      </c>
      <c r="L80" s="1009">
        <v>7998810</v>
      </c>
      <c r="M80" s="1012">
        <v>79988100</v>
      </c>
      <c r="N80" s="1011"/>
      <c r="O80" s="1014">
        <f t="shared" si="4"/>
        <v>79988100</v>
      </c>
      <c r="P80" s="1014"/>
      <c r="Q80" s="1014"/>
      <c r="R80" s="1000">
        <f t="shared" si="5"/>
        <v>79988100</v>
      </c>
      <c r="S80" s="1015" t="s">
        <v>2116</v>
      </c>
      <c r="T80" s="1016">
        <v>11.5</v>
      </c>
    </row>
    <row r="81" spans="1:20" ht="17.25" customHeight="1">
      <c r="B81" s="1017">
        <v>161416</v>
      </c>
      <c r="C81" s="1002"/>
      <c r="D81" s="1009"/>
      <c r="E81" s="1009"/>
      <c r="F81" s="1009"/>
      <c r="G81" s="1009"/>
      <c r="H81" s="1010"/>
      <c r="I81" s="1019" t="s">
        <v>2113</v>
      </c>
      <c r="J81" s="1012">
        <v>57872000</v>
      </c>
      <c r="K81" s="1011"/>
      <c r="L81" s="1009">
        <v>5787200</v>
      </c>
      <c r="N81" s="1011"/>
      <c r="O81" s="1014">
        <f t="shared" si="4"/>
        <v>0</v>
      </c>
      <c r="P81" s="1014"/>
      <c r="Q81" s="1012">
        <v>57872000</v>
      </c>
      <c r="R81" s="1000">
        <f t="shared" si="5"/>
        <v>57872000</v>
      </c>
      <c r="S81" s="1015" t="s">
        <v>2116</v>
      </c>
      <c r="T81" s="1016">
        <v>12.25</v>
      </c>
    </row>
    <row r="82" spans="1:20" s="1030" customFormat="1" ht="17.25" customHeight="1">
      <c r="A82" s="1022"/>
      <c r="B82" s="1023"/>
      <c r="C82" s="1024"/>
      <c r="D82" s="1025"/>
      <c r="E82" s="1025"/>
      <c r="F82" s="1025"/>
      <c r="G82" s="1025"/>
      <c r="H82" s="1026"/>
      <c r="I82" s="1027" t="s">
        <v>287</v>
      </c>
      <c r="J82" s="1026">
        <f>J65+J66+J67+J68+J69+J70+J71+J72+J73+J74+J75+J76+J77+J78+J79+J80+J81</f>
        <v>468526900</v>
      </c>
      <c r="K82" s="1026">
        <f>K65+K66+K67+K68+K69+K70+K71+K72+K73+K74+K75+K76</f>
        <v>311558400</v>
      </c>
      <c r="L82" s="1036">
        <f>L65+L66+L67+L68+L69+L70+L71+L72+L73+L74+L75+L76+L77+L78+L79+L80+L81</f>
        <v>46852690</v>
      </c>
      <c r="M82" s="1026">
        <f>SUM(M77:M81)</f>
        <v>99096500</v>
      </c>
      <c r="N82" s="1026">
        <v>0</v>
      </c>
      <c r="O82" s="1026">
        <f>K82+M82-N82</f>
        <v>410654900</v>
      </c>
      <c r="P82" s="1026"/>
      <c r="Q82" s="1026">
        <f>Q81</f>
        <v>57872000</v>
      </c>
      <c r="R82" s="1000">
        <f t="shared" si="5"/>
        <v>468526900</v>
      </c>
      <c r="S82" s="1028"/>
      <c r="T82" s="1029"/>
    </row>
    <row r="83" spans="1:20" ht="17.25" customHeight="1">
      <c r="A83" s="993">
        <v>5</v>
      </c>
      <c r="B83" s="1017">
        <v>161423</v>
      </c>
      <c r="C83" s="1037" t="s">
        <v>2089</v>
      </c>
      <c r="D83" s="1009" t="s">
        <v>2090</v>
      </c>
      <c r="E83" s="1009" t="s">
        <v>2091</v>
      </c>
      <c r="F83" s="1009">
        <v>156</v>
      </c>
      <c r="G83" s="1009">
        <v>36</v>
      </c>
      <c r="H83" s="1010">
        <v>857133000</v>
      </c>
      <c r="I83" s="1019">
        <v>39988</v>
      </c>
      <c r="J83" s="1011">
        <v>80253100</v>
      </c>
      <c r="K83" s="1010">
        <v>80253100</v>
      </c>
      <c r="L83" s="1009">
        <v>8025310</v>
      </c>
      <c r="M83" s="1038"/>
      <c r="N83" s="1010"/>
      <c r="O83" s="1039">
        <f>K83+M83</f>
        <v>80253100</v>
      </c>
      <c r="P83" s="1039"/>
      <c r="Q83" s="1039"/>
      <c r="R83" s="1000">
        <f t="shared" si="5"/>
        <v>80253100</v>
      </c>
      <c r="S83" s="1040">
        <v>41440</v>
      </c>
      <c r="T83" s="1016">
        <v>11.5</v>
      </c>
    </row>
    <row r="84" spans="1:20" ht="17.25" customHeight="1">
      <c r="B84" s="1017">
        <v>161423</v>
      </c>
      <c r="C84" s="1002"/>
      <c r="D84" s="1009" t="s">
        <v>2090</v>
      </c>
      <c r="E84" s="1009" t="s">
        <v>2091</v>
      </c>
      <c r="F84" s="1009">
        <v>156</v>
      </c>
      <c r="G84" s="1009">
        <v>36</v>
      </c>
      <c r="H84" s="1010"/>
      <c r="I84" s="1019">
        <v>40114</v>
      </c>
      <c r="J84" s="1011">
        <v>9780264</v>
      </c>
      <c r="K84" s="1010">
        <v>9780264</v>
      </c>
      <c r="L84" s="1009">
        <v>978026</v>
      </c>
      <c r="M84" s="1038"/>
      <c r="N84" s="1010"/>
      <c r="O84" s="1039">
        <f t="shared" ref="O84:O95" si="6">K84+M84</f>
        <v>9780264</v>
      </c>
      <c r="P84" s="1039"/>
      <c r="Q84" s="1039"/>
      <c r="R84" s="1000">
        <f t="shared" si="5"/>
        <v>9780264</v>
      </c>
      <c r="S84" s="1040">
        <v>41440</v>
      </c>
      <c r="T84" s="1016">
        <v>11.5</v>
      </c>
    </row>
    <row r="85" spans="1:20" ht="17.25" customHeight="1">
      <c r="B85" s="1017">
        <v>161423</v>
      </c>
      <c r="C85" s="1002"/>
      <c r="D85" s="1009" t="s">
        <v>2090</v>
      </c>
      <c r="E85" s="1009" t="s">
        <v>2091</v>
      </c>
      <c r="F85" s="1009">
        <v>156</v>
      </c>
      <c r="G85" s="1009">
        <v>36</v>
      </c>
      <c r="H85" s="1010"/>
      <c r="I85" s="1019">
        <v>40117</v>
      </c>
      <c r="J85" s="1011">
        <v>27034300</v>
      </c>
      <c r="K85" s="1010">
        <v>27034300</v>
      </c>
      <c r="L85" s="1009">
        <v>2703430</v>
      </c>
      <c r="M85" s="1038"/>
      <c r="N85" s="1010"/>
      <c r="O85" s="1039">
        <f t="shared" si="6"/>
        <v>27034300</v>
      </c>
      <c r="P85" s="1039"/>
      <c r="Q85" s="1039"/>
      <c r="R85" s="1000">
        <f t="shared" si="5"/>
        <v>27034300</v>
      </c>
      <c r="S85" s="1040">
        <v>41440</v>
      </c>
      <c r="T85" s="1016">
        <v>11.5</v>
      </c>
    </row>
    <row r="86" spans="1:20" ht="17.25" customHeight="1">
      <c r="B86" s="1017">
        <v>161423</v>
      </c>
      <c r="C86" s="1002"/>
      <c r="D86" s="1009" t="s">
        <v>2090</v>
      </c>
      <c r="E86" s="1009" t="s">
        <v>2091</v>
      </c>
      <c r="F86" s="1009">
        <v>156</v>
      </c>
      <c r="G86" s="1009">
        <v>36</v>
      </c>
      <c r="H86" s="1010"/>
      <c r="I86" s="1019">
        <v>40268</v>
      </c>
      <c r="J86" s="1011">
        <v>5126600</v>
      </c>
      <c r="K86" s="1010">
        <v>5126600</v>
      </c>
      <c r="L86" s="1009">
        <v>512660</v>
      </c>
      <c r="M86" s="1038"/>
      <c r="N86" s="1010"/>
      <c r="O86" s="1039">
        <f t="shared" si="6"/>
        <v>5126600</v>
      </c>
      <c r="P86" s="1039"/>
      <c r="Q86" s="1039"/>
      <c r="R86" s="1000">
        <f t="shared" si="5"/>
        <v>5126600</v>
      </c>
      <c r="S86" s="1040">
        <v>41440</v>
      </c>
      <c r="T86" s="1016">
        <v>11</v>
      </c>
    </row>
    <row r="87" spans="1:20" ht="17.25" customHeight="1">
      <c r="B87" s="1017">
        <v>161423</v>
      </c>
      <c r="C87" s="1002"/>
      <c r="D87" s="1009" t="s">
        <v>2090</v>
      </c>
      <c r="E87" s="1009" t="s">
        <v>2091</v>
      </c>
      <c r="F87" s="1009">
        <v>156</v>
      </c>
      <c r="G87" s="1009">
        <v>36</v>
      </c>
      <c r="H87" s="1010"/>
      <c r="I87" s="1019">
        <v>40382</v>
      </c>
      <c r="J87" s="1012">
        <v>16275800</v>
      </c>
      <c r="K87" s="1010">
        <v>0</v>
      </c>
      <c r="L87" s="1009">
        <v>1627580</v>
      </c>
      <c r="M87" s="1012">
        <v>16275800</v>
      </c>
      <c r="N87" s="1010"/>
      <c r="O87" s="1039">
        <f t="shared" si="6"/>
        <v>16275800</v>
      </c>
      <c r="P87" s="1039"/>
      <c r="Q87" s="1039"/>
      <c r="R87" s="1000">
        <f t="shared" si="5"/>
        <v>16275800</v>
      </c>
      <c r="S87" s="1040">
        <v>41440</v>
      </c>
      <c r="T87" s="1016">
        <v>11</v>
      </c>
    </row>
    <row r="88" spans="1:20" ht="17.25" customHeight="1">
      <c r="B88" s="1017">
        <v>161423</v>
      </c>
      <c r="C88" s="1002"/>
      <c r="D88" s="1009" t="s">
        <v>2090</v>
      </c>
      <c r="E88" s="1009" t="s">
        <v>2091</v>
      </c>
      <c r="F88" s="1009">
        <v>156</v>
      </c>
      <c r="G88" s="1009">
        <v>36</v>
      </c>
      <c r="H88" s="1010"/>
      <c r="I88" s="1019">
        <v>40417</v>
      </c>
      <c r="J88" s="1012">
        <v>7074900</v>
      </c>
      <c r="K88" s="1010">
        <v>0</v>
      </c>
      <c r="L88" s="1009">
        <v>707490</v>
      </c>
      <c r="M88" s="1012">
        <v>7074900</v>
      </c>
      <c r="N88" s="1010"/>
      <c r="O88" s="1039">
        <f t="shared" si="6"/>
        <v>7074900</v>
      </c>
      <c r="P88" s="1039"/>
      <c r="Q88" s="1039"/>
      <c r="R88" s="1000">
        <f t="shared" si="5"/>
        <v>7074900</v>
      </c>
      <c r="S88" s="1040">
        <v>41440</v>
      </c>
      <c r="T88" s="1016">
        <v>11</v>
      </c>
    </row>
    <row r="89" spans="1:20" ht="17.25" customHeight="1">
      <c r="B89" s="1017">
        <v>161423</v>
      </c>
      <c r="C89" s="1002"/>
      <c r="D89" s="1009" t="s">
        <v>2090</v>
      </c>
      <c r="E89" s="1009" t="s">
        <v>2091</v>
      </c>
      <c r="F89" s="1009">
        <v>156</v>
      </c>
      <c r="G89" s="1009">
        <v>36</v>
      </c>
      <c r="H89" s="1010"/>
      <c r="I89" s="1019">
        <v>40415</v>
      </c>
      <c r="J89" s="1012">
        <v>1145000</v>
      </c>
      <c r="K89" s="1010">
        <v>0</v>
      </c>
      <c r="L89" s="1009">
        <v>114500</v>
      </c>
      <c r="M89" s="1012">
        <v>1145000</v>
      </c>
      <c r="N89" s="1010"/>
      <c r="O89" s="1039">
        <f t="shared" si="6"/>
        <v>1145000</v>
      </c>
      <c r="P89" s="1039"/>
      <c r="Q89" s="1039"/>
      <c r="R89" s="1000">
        <f t="shared" si="5"/>
        <v>1145000</v>
      </c>
      <c r="S89" s="1040">
        <v>41440</v>
      </c>
      <c r="T89" s="1016">
        <v>11</v>
      </c>
    </row>
    <row r="90" spans="1:20" ht="17.25" customHeight="1">
      <c r="B90" s="1017"/>
      <c r="C90" s="1002"/>
      <c r="D90" s="1009"/>
      <c r="E90" s="1009"/>
      <c r="F90" s="1009"/>
      <c r="G90" s="1009"/>
      <c r="H90" s="1010"/>
      <c r="I90" s="1019">
        <v>40514</v>
      </c>
      <c r="J90" s="1012">
        <v>5054400</v>
      </c>
      <c r="K90" s="1010">
        <v>0</v>
      </c>
      <c r="L90" s="1009">
        <v>505440</v>
      </c>
      <c r="M90" s="1012">
        <v>5054400</v>
      </c>
      <c r="N90" s="1010"/>
      <c r="O90" s="1039">
        <f t="shared" si="6"/>
        <v>5054400</v>
      </c>
      <c r="P90" s="1039"/>
      <c r="Q90" s="1039"/>
      <c r="R90" s="1000">
        <f t="shared" si="5"/>
        <v>5054400</v>
      </c>
      <c r="S90" s="1040">
        <v>41440</v>
      </c>
      <c r="T90" s="1016">
        <v>11</v>
      </c>
    </row>
    <row r="91" spans="1:20" ht="17.25" customHeight="1">
      <c r="B91" s="1017"/>
      <c r="C91" s="1002"/>
      <c r="D91" s="1009"/>
      <c r="E91" s="1009"/>
      <c r="F91" s="1009"/>
      <c r="G91" s="1009"/>
      <c r="H91" s="1010"/>
      <c r="I91" s="1019">
        <v>40514</v>
      </c>
      <c r="J91" s="1012">
        <v>6322800</v>
      </c>
      <c r="K91" s="1010">
        <v>0</v>
      </c>
      <c r="L91" s="1009">
        <v>632280</v>
      </c>
      <c r="M91" s="1012">
        <v>6322800</v>
      </c>
      <c r="N91" s="1010"/>
      <c r="O91" s="1039">
        <f t="shared" si="6"/>
        <v>6322800</v>
      </c>
      <c r="P91" s="1039"/>
      <c r="Q91" s="1039"/>
      <c r="R91" s="1000">
        <f t="shared" si="5"/>
        <v>6322800</v>
      </c>
      <c r="S91" s="1040">
        <v>41440</v>
      </c>
      <c r="T91" s="1016">
        <v>11</v>
      </c>
    </row>
    <row r="92" spans="1:20" ht="17.25" customHeight="1">
      <c r="B92" s="1017"/>
      <c r="C92" s="1002"/>
      <c r="D92" s="1009"/>
      <c r="E92" s="1009"/>
      <c r="F92" s="1009"/>
      <c r="G92" s="1009"/>
      <c r="H92" s="1010"/>
      <c r="I92" s="1019">
        <v>40599</v>
      </c>
      <c r="J92" s="1012">
        <v>4066900</v>
      </c>
      <c r="K92" s="1010">
        <v>0</v>
      </c>
      <c r="L92" s="1009">
        <v>406690</v>
      </c>
      <c r="M92" s="1012">
        <v>4066900</v>
      </c>
      <c r="N92" s="1010"/>
      <c r="O92" s="1039">
        <f t="shared" si="6"/>
        <v>4066900</v>
      </c>
      <c r="P92" s="1039"/>
      <c r="Q92" s="1039"/>
      <c r="R92" s="1000">
        <f t="shared" si="5"/>
        <v>4066900</v>
      </c>
      <c r="S92" s="1040">
        <v>41440</v>
      </c>
      <c r="T92" s="1016">
        <v>11.5</v>
      </c>
    </row>
    <row r="93" spans="1:20" ht="17.25" customHeight="1">
      <c r="B93" s="1017"/>
      <c r="C93" s="1002"/>
      <c r="D93" s="1009"/>
      <c r="E93" s="1009"/>
      <c r="F93" s="1009"/>
      <c r="G93" s="1009"/>
      <c r="H93" s="1010"/>
      <c r="I93" s="1019">
        <v>40620</v>
      </c>
      <c r="J93" s="1012">
        <v>12403300</v>
      </c>
      <c r="K93" s="1010"/>
      <c r="L93" s="1009">
        <v>1240330</v>
      </c>
      <c r="M93" s="1012">
        <v>12403300</v>
      </c>
      <c r="N93" s="1010"/>
      <c r="O93" s="1039">
        <f t="shared" si="6"/>
        <v>12403300</v>
      </c>
      <c r="P93" s="1039"/>
      <c r="Q93" s="1039"/>
      <c r="R93" s="1000">
        <f t="shared" si="5"/>
        <v>12403300</v>
      </c>
      <c r="S93" s="1040">
        <v>41440</v>
      </c>
      <c r="T93" s="1016">
        <v>11.5</v>
      </c>
    </row>
    <row r="94" spans="1:20" ht="17.25" customHeight="1">
      <c r="B94" s="1017"/>
      <c r="C94" s="1002"/>
      <c r="D94" s="1009"/>
      <c r="E94" s="1009"/>
      <c r="F94" s="1009"/>
      <c r="G94" s="1009"/>
      <c r="H94" s="1010"/>
      <c r="I94" s="1019" t="s">
        <v>2136</v>
      </c>
      <c r="J94" s="1012">
        <v>79570800</v>
      </c>
      <c r="K94" s="1010"/>
      <c r="L94" s="1009">
        <v>7957080</v>
      </c>
      <c r="N94" s="1010"/>
      <c r="O94" s="1039">
        <f t="shared" si="6"/>
        <v>0</v>
      </c>
      <c r="P94" s="1039"/>
      <c r="Q94" s="1012">
        <v>79570800</v>
      </c>
      <c r="R94" s="1000">
        <f t="shared" si="5"/>
        <v>79570800</v>
      </c>
      <c r="S94" s="1040">
        <v>41440</v>
      </c>
      <c r="T94" s="1016">
        <v>12.25</v>
      </c>
    </row>
    <row r="95" spans="1:20" ht="17.25" customHeight="1">
      <c r="B95" s="1017"/>
      <c r="C95" s="1002"/>
      <c r="D95" s="1009"/>
      <c r="E95" s="1009"/>
      <c r="F95" s="1009"/>
      <c r="G95" s="1009"/>
      <c r="H95" s="1010"/>
      <c r="I95" s="1019" t="s">
        <v>2137</v>
      </c>
      <c r="J95" s="1012">
        <v>61248600</v>
      </c>
      <c r="K95" s="1010"/>
      <c r="L95" s="1009">
        <v>6124860</v>
      </c>
      <c r="N95" s="1010"/>
      <c r="O95" s="1039">
        <f t="shared" si="6"/>
        <v>0</v>
      </c>
      <c r="P95" s="1039"/>
      <c r="Q95" s="1012">
        <v>61248600</v>
      </c>
      <c r="R95" s="1000">
        <f t="shared" si="5"/>
        <v>61248600</v>
      </c>
      <c r="S95" s="1040">
        <v>41440</v>
      </c>
      <c r="T95" s="1016">
        <v>12.25</v>
      </c>
    </row>
    <row r="96" spans="1:20" ht="17.25" customHeight="1">
      <c r="B96" s="1017"/>
      <c r="C96" s="1002"/>
      <c r="D96" s="1009"/>
      <c r="E96" s="1009"/>
      <c r="F96" s="1009"/>
      <c r="G96" s="1009"/>
      <c r="H96" s="1010"/>
      <c r="I96" s="1019" t="s">
        <v>2138</v>
      </c>
      <c r="J96" s="1012">
        <v>141209800</v>
      </c>
      <c r="K96" s="1010"/>
      <c r="L96" s="1009">
        <v>14120980</v>
      </c>
      <c r="N96" s="1010"/>
      <c r="O96" s="1039"/>
      <c r="P96" s="1039"/>
      <c r="Q96" s="1012">
        <v>141209800</v>
      </c>
      <c r="R96" s="1000">
        <f t="shared" si="5"/>
        <v>141209800</v>
      </c>
      <c r="S96" s="1040">
        <v>41440</v>
      </c>
      <c r="T96" s="1016">
        <v>12.25</v>
      </c>
    </row>
    <row r="97" spans="1:20" s="1030" customFormat="1" ht="17.25" customHeight="1">
      <c r="A97" s="1022"/>
      <c r="B97" s="1023"/>
      <c r="C97" s="1024"/>
      <c r="D97" s="1025"/>
      <c r="E97" s="1025"/>
      <c r="F97" s="1025"/>
      <c r="G97" s="1025"/>
      <c r="H97" s="1026"/>
      <c r="I97" s="1027" t="s">
        <v>287</v>
      </c>
      <c r="J97" s="1026">
        <f>J83+J84+J85+J86+J87+J88+J89+J90+J91+J92+J93+J94+J95+J96</f>
        <v>456566564</v>
      </c>
      <c r="K97" s="1026">
        <v>122194264</v>
      </c>
      <c r="L97" s="1025">
        <f>SUM(L83:L96)</f>
        <v>45656656</v>
      </c>
      <c r="M97" s="1026">
        <f>SUM(M87:M95)</f>
        <v>52343100</v>
      </c>
      <c r="N97" s="1026"/>
      <c r="O97" s="1026">
        <f>K97+M97-N97</f>
        <v>174537364</v>
      </c>
      <c r="P97" s="1026"/>
      <c r="Q97" s="1026">
        <f>SUM(Q94:Q96)</f>
        <v>282029200</v>
      </c>
      <c r="R97" s="1000">
        <f t="shared" si="5"/>
        <v>456566564</v>
      </c>
      <c r="S97" s="1028"/>
      <c r="T97" s="1029"/>
    </row>
    <row r="98" spans="1:20" ht="17.25" customHeight="1">
      <c r="A98" s="993">
        <v>6</v>
      </c>
      <c r="B98" s="1017">
        <v>161424</v>
      </c>
      <c r="C98" s="1037" t="s">
        <v>2114</v>
      </c>
      <c r="D98" s="1009" t="s">
        <v>2090</v>
      </c>
      <c r="E98" s="1009" t="s">
        <v>2091</v>
      </c>
      <c r="F98" s="1009">
        <v>156</v>
      </c>
      <c r="G98" s="1009">
        <v>36</v>
      </c>
      <c r="H98" s="1010">
        <v>900098000</v>
      </c>
      <c r="I98" s="1019">
        <v>40038</v>
      </c>
      <c r="J98" s="1010">
        <v>40277700</v>
      </c>
      <c r="K98" s="1010">
        <v>40277700</v>
      </c>
      <c r="L98" s="1009">
        <v>4027770</v>
      </c>
      <c r="M98" s="1038"/>
      <c r="N98" s="1010"/>
      <c r="O98" s="1039">
        <f t="shared" ref="O98:O103" si="7">K98+M98</f>
        <v>40277700</v>
      </c>
      <c r="P98" s="1039"/>
      <c r="Q98" s="1039"/>
      <c r="R98" s="1000">
        <f t="shared" si="5"/>
        <v>40277700</v>
      </c>
      <c r="S98" s="1040">
        <v>41501</v>
      </c>
      <c r="T98" s="1016">
        <v>11.5</v>
      </c>
    </row>
    <row r="99" spans="1:20" ht="17.25" customHeight="1">
      <c r="B99" s="1017">
        <v>161424</v>
      </c>
      <c r="C99" s="1002"/>
      <c r="D99" s="1009" t="s">
        <v>2090</v>
      </c>
      <c r="E99" s="1009" t="s">
        <v>2091</v>
      </c>
      <c r="F99" s="1009">
        <v>156</v>
      </c>
      <c r="G99" s="1009">
        <v>36</v>
      </c>
      <c r="H99" s="1010"/>
      <c r="I99" s="1019">
        <v>40144</v>
      </c>
      <c r="J99" s="1010">
        <v>13480500</v>
      </c>
      <c r="K99" s="1010">
        <v>13480500</v>
      </c>
      <c r="L99" s="1009">
        <v>1348050</v>
      </c>
      <c r="M99" s="1038"/>
      <c r="N99" s="1010"/>
      <c r="O99" s="1039">
        <f t="shared" si="7"/>
        <v>13480500</v>
      </c>
      <c r="P99" s="1039"/>
      <c r="Q99" s="1039"/>
      <c r="R99" s="1000">
        <f t="shared" si="5"/>
        <v>13480500</v>
      </c>
      <c r="S99" s="1040">
        <v>41501</v>
      </c>
      <c r="T99" s="1016">
        <v>11.5</v>
      </c>
    </row>
    <row r="100" spans="1:20" ht="17.25" customHeight="1">
      <c r="B100" s="1017">
        <v>161424</v>
      </c>
      <c r="C100" s="1002"/>
      <c r="D100" s="1009" t="s">
        <v>2090</v>
      </c>
      <c r="E100" s="1009" t="s">
        <v>2091</v>
      </c>
      <c r="F100" s="1009">
        <v>156</v>
      </c>
      <c r="G100" s="1009">
        <v>36</v>
      </c>
      <c r="H100" s="1010"/>
      <c r="I100" s="1019">
        <v>40268</v>
      </c>
      <c r="J100" s="1010">
        <v>28529100</v>
      </c>
      <c r="K100" s="1010">
        <v>28529100</v>
      </c>
      <c r="L100" s="1009">
        <v>2852910</v>
      </c>
      <c r="M100" s="1038"/>
      <c r="N100" s="1010"/>
      <c r="O100" s="1039">
        <f t="shared" si="7"/>
        <v>28529100</v>
      </c>
      <c r="P100" s="1039"/>
      <c r="Q100" s="1039"/>
      <c r="R100" s="1000">
        <f t="shared" si="5"/>
        <v>28529100</v>
      </c>
      <c r="S100" s="1040">
        <v>41501</v>
      </c>
      <c r="T100" s="1016">
        <v>11</v>
      </c>
    </row>
    <row r="101" spans="1:20" ht="17.25" customHeight="1">
      <c r="B101" s="1017">
        <v>161424</v>
      </c>
      <c r="C101" s="1002"/>
      <c r="D101" s="1009" t="s">
        <v>2090</v>
      </c>
      <c r="E101" s="1009" t="s">
        <v>2091</v>
      </c>
      <c r="F101" s="1009">
        <v>156</v>
      </c>
      <c r="G101" s="1009">
        <v>36</v>
      </c>
      <c r="H101" s="1010"/>
      <c r="I101" s="1019">
        <v>40382</v>
      </c>
      <c r="J101" s="1012">
        <v>10063800</v>
      </c>
      <c r="K101" s="1010"/>
      <c r="L101" s="1009">
        <v>1006380</v>
      </c>
      <c r="M101" s="1012">
        <v>10063800</v>
      </c>
      <c r="N101" s="1010"/>
      <c r="O101" s="1039">
        <f t="shared" si="7"/>
        <v>10063800</v>
      </c>
      <c r="P101" s="1039"/>
      <c r="Q101" s="1039"/>
      <c r="R101" s="1000">
        <f t="shared" si="5"/>
        <v>10063800</v>
      </c>
      <c r="S101" s="1040">
        <v>41501</v>
      </c>
      <c r="T101" s="1016">
        <v>11</v>
      </c>
    </row>
    <row r="102" spans="1:20" ht="17.25" customHeight="1">
      <c r="B102" s="1017">
        <v>161424</v>
      </c>
      <c r="C102" s="1002"/>
      <c r="D102" s="1009" t="s">
        <v>2090</v>
      </c>
      <c r="E102" s="1009" t="s">
        <v>2091</v>
      </c>
      <c r="F102" s="1009">
        <v>156</v>
      </c>
      <c r="G102" s="1009">
        <v>36</v>
      </c>
      <c r="H102" s="1010"/>
      <c r="I102" s="1019">
        <v>40415</v>
      </c>
      <c r="J102" s="1012">
        <v>4634300</v>
      </c>
      <c r="K102" s="1010"/>
      <c r="L102" s="1009">
        <v>463430</v>
      </c>
      <c r="M102" s="1012">
        <v>4634300</v>
      </c>
      <c r="N102" s="1010"/>
      <c r="O102" s="1039">
        <f t="shared" si="7"/>
        <v>4634300</v>
      </c>
      <c r="P102" s="1039"/>
      <c r="Q102" s="1039"/>
      <c r="R102" s="1000">
        <f t="shared" si="5"/>
        <v>4634300</v>
      </c>
      <c r="S102" s="1040">
        <v>41501</v>
      </c>
      <c r="T102" s="1016">
        <v>11</v>
      </c>
    </row>
    <row r="103" spans="1:20" ht="17.25" customHeight="1">
      <c r="B103" s="1017"/>
      <c r="C103" s="1002"/>
      <c r="D103" s="1009"/>
      <c r="E103" s="1009"/>
      <c r="F103" s="1009"/>
      <c r="G103" s="1009"/>
      <c r="H103" s="1010"/>
      <c r="I103" s="1019">
        <v>40555</v>
      </c>
      <c r="J103" s="1012">
        <v>23674000</v>
      </c>
      <c r="K103" s="1010"/>
      <c r="L103" s="1009">
        <v>2367400</v>
      </c>
      <c r="M103" s="1012">
        <v>23674000</v>
      </c>
      <c r="N103" s="1010"/>
      <c r="O103" s="1039">
        <f t="shared" si="7"/>
        <v>23674000</v>
      </c>
      <c r="P103" s="1039"/>
      <c r="Q103" s="1039"/>
      <c r="R103" s="1000">
        <f t="shared" si="5"/>
        <v>23674000</v>
      </c>
      <c r="S103" s="1040">
        <v>41501</v>
      </c>
      <c r="T103" s="1016">
        <v>11</v>
      </c>
    </row>
    <row r="104" spans="1:20" ht="17.25" customHeight="1">
      <c r="R104" s="1000">
        <f t="shared" si="5"/>
        <v>0</v>
      </c>
    </row>
    <row r="105" spans="1:20" s="1030" customFormat="1" ht="17.25" customHeight="1">
      <c r="A105" s="1022"/>
      <c r="B105" s="1023"/>
      <c r="C105" s="1024"/>
      <c r="D105" s="1025"/>
      <c r="E105" s="1025"/>
      <c r="F105" s="1025"/>
      <c r="G105" s="1025"/>
      <c r="H105" s="1026"/>
      <c r="I105" s="1027" t="s">
        <v>287</v>
      </c>
      <c r="J105" s="1026">
        <f>J98+J99+J100+J101+J102+J103</f>
        <v>120659400</v>
      </c>
      <c r="K105" s="1026">
        <v>82287300</v>
      </c>
      <c r="L105" s="1025">
        <f>L101+L102+L103+L99+L100+L98</f>
        <v>12065940</v>
      </c>
      <c r="M105" s="1026">
        <f>SUM(M101:M104)</f>
        <v>38372100</v>
      </c>
      <c r="N105" s="1026"/>
      <c r="O105" s="1026">
        <f>K105+M105-N105</f>
        <v>120659400</v>
      </c>
      <c r="P105" s="1026"/>
      <c r="Q105" s="1026"/>
      <c r="R105" s="1041">
        <f>SUM(R98:R104)</f>
        <v>120659400</v>
      </c>
      <c r="S105" s="1028"/>
      <c r="T105" s="1027"/>
    </row>
    <row r="106" spans="1:20" ht="22.5" customHeight="1">
      <c r="B106" s="1017"/>
      <c r="C106" s="1002"/>
      <c r="D106" s="1009"/>
      <c r="E106" s="1009"/>
      <c r="F106" s="1009"/>
      <c r="G106" s="1009"/>
      <c r="H106" s="1010">
        <f>SUM(H4:H105)</f>
        <v>5534040000</v>
      </c>
      <c r="I106" s="996" t="s">
        <v>1927</v>
      </c>
      <c r="J106" s="1042">
        <f>J32+J43+J64+J82+J97+J105</f>
        <v>3140241491</v>
      </c>
      <c r="K106" s="1042">
        <f>K32+K43+K64+K82+K97+K105</f>
        <v>2010538491</v>
      </c>
      <c r="L106" s="1042">
        <f>L32+L43+L64+L82</f>
        <v>257146729</v>
      </c>
      <c r="M106" s="1043">
        <f t="shared" ref="M106:R106" si="8">M32+M43+M64+M82+M97+M105</f>
        <v>668539500</v>
      </c>
      <c r="N106" s="1042">
        <f t="shared" si="8"/>
        <v>90980460</v>
      </c>
      <c r="O106" s="1034">
        <f t="shared" si="8"/>
        <v>2588097531</v>
      </c>
      <c r="P106" s="1034">
        <f t="shared" si="8"/>
        <v>0</v>
      </c>
      <c r="Q106" s="1034">
        <f t="shared" si="8"/>
        <v>461163500</v>
      </c>
      <c r="R106" s="1034">
        <f t="shared" si="8"/>
        <v>3049261031</v>
      </c>
      <c r="S106" s="1015"/>
      <c r="T106" s="1011"/>
    </row>
    <row r="107" spans="1:20" ht="10.5" customHeight="1">
      <c r="B107" s="1017"/>
      <c r="C107" s="1002"/>
      <c r="D107" s="1009"/>
      <c r="E107" s="1009"/>
      <c r="F107" s="1009"/>
      <c r="G107" s="1009"/>
      <c r="H107" s="1010"/>
      <c r="I107" s="1011"/>
      <c r="J107" s="1010"/>
      <c r="K107" s="1010"/>
      <c r="L107" s="1009"/>
      <c r="M107" s="1038"/>
      <c r="N107" s="1010"/>
      <c r="O107" s="1039"/>
      <c r="P107" s="1039"/>
      <c r="Q107" s="1039">
        <f>Q106/10^7</f>
        <v>46.116349999999997</v>
      </c>
      <c r="S107" s="1015"/>
      <c r="T107" s="1011"/>
    </row>
    <row r="108" spans="1:20" ht="10.5" customHeight="1">
      <c r="B108" s="1017"/>
      <c r="C108" s="1002"/>
      <c r="D108" s="1009"/>
      <c r="E108" s="1009"/>
      <c r="F108" s="1009"/>
      <c r="G108" s="1009"/>
      <c r="H108" s="1010"/>
      <c r="I108" s="1011"/>
      <c r="J108" s="1010"/>
      <c r="K108" s="1042"/>
      <c r="L108" s="1009"/>
      <c r="M108" s="1038"/>
      <c r="N108" s="1010"/>
      <c r="O108" s="1039"/>
      <c r="P108" s="1039"/>
      <c r="Q108" s="1039"/>
      <c r="S108" s="1015"/>
      <c r="T108" s="1011"/>
    </row>
    <row r="109" spans="1:20" ht="30.75" customHeight="1">
      <c r="B109" s="1017"/>
      <c r="C109" s="1002"/>
      <c r="D109" s="1009"/>
      <c r="E109" s="1009"/>
      <c r="F109" s="1009"/>
      <c r="G109" s="1009"/>
      <c r="H109" s="1010"/>
      <c r="I109" s="1011"/>
      <c r="J109" s="1010"/>
      <c r="K109" s="1010">
        <f>K106/10^7</f>
        <v>201.05384910000001</v>
      </c>
      <c r="L109" s="1010">
        <f>L106/10^7</f>
        <v>25.7146729</v>
      </c>
      <c r="M109" s="1010">
        <f>M106/10^7</f>
        <v>66.853949999999998</v>
      </c>
      <c r="N109" s="1010">
        <f>N106/10^7</f>
        <v>9.0980460000000001</v>
      </c>
      <c r="O109" s="1010">
        <f>O106/10^7</f>
        <v>258.80975310000002</v>
      </c>
      <c r="P109" s="1039"/>
      <c r="Q109" s="1039"/>
      <c r="S109" s="1015"/>
      <c r="T109" s="1011"/>
    </row>
    <row r="110" spans="1:20" ht="10.5" customHeight="1">
      <c r="B110" s="1017"/>
      <c r="C110" s="1002"/>
      <c r="D110" s="1009"/>
      <c r="E110" s="1009"/>
      <c r="F110" s="1009"/>
      <c r="G110" s="1009"/>
      <c r="H110" s="1010"/>
      <c r="I110" s="1011"/>
      <c r="J110" s="1010"/>
      <c r="K110" s="1010"/>
      <c r="L110" s="1009"/>
      <c r="M110" s="1038"/>
      <c r="N110" s="1010"/>
      <c r="O110" s="1039"/>
      <c r="P110" s="1039"/>
      <c r="Q110" s="1039"/>
      <c r="S110" s="1015"/>
      <c r="T110" s="1011"/>
    </row>
    <row r="111" spans="1:20" ht="10.5" customHeight="1">
      <c r="B111" s="1017"/>
      <c r="C111" s="1002"/>
      <c r="D111" s="1009"/>
      <c r="E111" s="1009"/>
      <c r="F111" s="1009"/>
      <c r="G111" s="1009"/>
      <c r="H111" s="1010"/>
      <c r="I111" s="1011"/>
      <c r="J111" s="1010"/>
      <c r="K111" s="1010"/>
      <c r="L111" s="1009"/>
      <c r="M111" s="1038"/>
      <c r="N111" s="1010"/>
      <c r="O111" s="1039"/>
      <c r="P111" s="1039"/>
      <c r="Q111" s="1039"/>
      <c r="S111" s="1015"/>
      <c r="T111" s="1011"/>
    </row>
    <row r="112" spans="1:20" ht="21.95" customHeight="1">
      <c r="B112" s="1017"/>
      <c r="C112" s="1002"/>
      <c r="D112" s="1009"/>
      <c r="E112" s="1009"/>
      <c r="F112" s="1009"/>
      <c r="G112" s="1009"/>
      <c r="H112" s="1010"/>
      <c r="I112" s="1011"/>
      <c r="J112" s="1010"/>
      <c r="K112" s="1010"/>
      <c r="L112" s="1009"/>
      <c r="M112" s="1038"/>
      <c r="N112" s="1010"/>
      <c r="O112" s="1039"/>
      <c r="P112" s="1039"/>
      <c r="Q112" s="1039"/>
      <c r="S112" s="1015"/>
      <c r="T112" s="1011"/>
    </row>
    <row r="113" spans="10:17" ht="18" customHeight="1">
      <c r="J113" s="1044"/>
      <c r="K113" s="1044"/>
      <c r="L113" s="1045"/>
      <c r="M113" s="1046"/>
      <c r="N113" s="1044"/>
      <c r="O113" s="1047"/>
      <c r="P113" s="1047"/>
      <c r="Q113" s="1047"/>
    </row>
    <row r="114" spans="10:17" ht="21.95" customHeight="1">
      <c r="L114" s="1045"/>
    </row>
    <row r="115" spans="10:17" ht="21.95" customHeight="1">
      <c r="K115" s="1048"/>
      <c r="M115" s="1049"/>
      <c r="N115" s="1048"/>
      <c r="O115" s="1050"/>
      <c r="P115" s="1050"/>
      <c r="Q115" s="1050"/>
    </row>
    <row r="116" spans="10:17" ht="21.95" customHeight="1">
      <c r="K116" s="1048"/>
      <c r="M116" s="1051"/>
      <c r="N116" s="1048"/>
      <c r="O116" s="1050"/>
      <c r="P116" s="1050"/>
      <c r="Q116" s="1050"/>
    </row>
    <row r="117" spans="10:17" ht="21.95" customHeight="1">
      <c r="K117" s="1048"/>
      <c r="M117" s="1049"/>
      <c r="N117" s="1048"/>
      <c r="O117" s="1050"/>
      <c r="P117" s="1050"/>
      <c r="Q117" s="1050"/>
    </row>
    <row r="118" spans="10:17" ht="21.95" customHeight="1">
      <c r="K118" s="1048"/>
      <c r="M118" s="1049"/>
      <c r="N118" s="1048"/>
      <c r="O118" s="1050"/>
      <c r="P118" s="1050"/>
      <c r="Q118" s="1050"/>
    </row>
  </sheetData>
  <pageMargins left="0.75" right="0.75" top="1" bottom="1" header="0.5" footer="0.5"/>
  <pageSetup paperSize="9" scale="57" orientation="landscape" vertic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V52"/>
  <sheetViews>
    <sheetView zoomScale="62" zoomScaleNormal="62" workbookViewId="0">
      <pane xSplit="4" ySplit="3" topLeftCell="H14" activePane="bottomRight" state="frozen"/>
      <selection pane="topRight" activeCell="C1" sqref="C1"/>
      <selection pane="bottomLeft" activeCell="A4" sqref="A4"/>
      <selection pane="bottomRight" activeCell="J45" sqref="J45"/>
    </sheetView>
  </sheetViews>
  <sheetFormatPr defaultColWidth="15.85546875" defaultRowHeight="21.95" customHeight="1"/>
  <cols>
    <col min="1" max="1" width="9.7109375" style="996" customWidth="1"/>
    <col min="2" max="2" width="11.5703125" style="996" customWidth="1"/>
    <col min="3" max="3" width="17.42578125" style="1007" customWidth="1"/>
    <col min="4" max="4" width="14.7109375" style="996" hidden="1" customWidth="1"/>
    <col min="5" max="5" width="12.5703125" style="996" hidden="1" customWidth="1"/>
    <col min="6" max="6" width="9.42578125" style="996" hidden="1" customWidth="1"/>
    <col min="7" max="7" width="8.7109375" style="996" hidden="1" customWidth="1"/>
    <col min="8" max="8" width="18.7109375" style="996" customWidth="1"/>
    <col min="9" max="9" width="14.28515625" style="996" customWidth="1"/>
    <col min="10" max="10" width="17.140625" style="996" customWidth="1"/>
    <col min="11" max="12" width="17.85546875" style="996" customWidth="1"/>
    <col min="13" max="13" width="13.28515625" style="996" customWidth="1"/>
    <col min="14" max="14" width="3.85546875" style="998" customWidth="1"/>
    <col min="15" max="15" width="17.85546875" style="996" customWidth="1"/>
    <col min="16" max="16" width="17.85546875" style="999" customWidth="1"/>
    <col min="17" max="17" width="15.85546875" style="1000"/>
    <col min="18" max="18" width="15.85546875" style="996" customWidth="1"/>
    <col min="19" max="19" width="10.42578125" style="996" customWidth="1"/>
    <col min="20" max="20" width="15.85546875" style="996"/>
    <col min="21" max="22" width="16" style="996" bestFit="1" customWidth="1"/>
    <col min="23" max="16384" width="15.85546875" style="996"/>
  </cols>
  <sheetData>
    <row r="1" spans="1:22" ht="21.95" customHeight="1">
      <c r="B1" s="996" t="s">
        <v>2139</v>
      </c>
      <c r="C1" s="1007" t="s">
        <v>2140</v>
      </c>
      <c r="H1" s="1052" t="s">
        <v>2141</v>
      </c>
    </row>
    <row r="2" spans="1:22" s="1007" customFormat="1" ht="38.25" customHeight="1">
      <c r="A2" s="1007" t="s">
        <v>389</v>
      </c>
      <c r="B2" s="1003" t="s">
        <v>2070</v>
      </c>
      <c r="C2" s="1053" t="s">
        <v>2071</v>
      </c>
      <c r="D2" s="1003" t="s">
        <v>2072</v>
      </c>
      <c r="E2" s="1001" t="s">
        <v>2073</v>
      </c>
      <c r="F2" s="1001" t="s">
        <v>2074</v>
      </c>
      <c r="G2" s="1001" t="s">
        <v>2075</v>
      </c>
      <c r="H2" s="1003" t="s">
        <v>2076</v>
      </c>
      <c r="I2" s="1003" t="s">
        <v>2077</v>
      </c>
      <c r="J2" s="1003" t="s">
        <v>2078</v>
      </c>
      <c r="K2" s="1003" t="s">
        <v>2142</v>
      </c>
      <c r="L2" s="1003" t="s">
        <v>2143</v>
      </c>
      <c r="M2" s="1003" t="s">
        <v>2080</v>
      </c>
      <c r="N2" s="1005"/>
      <c r="O2" s="1003" t="s">
        <v>2082</v>
      </c>
      <c r="P2" s="1006" t="s">
        <v>2085</v>
      </c>
      <c r="R2" s="1003" t="s">
        <v>2086</v>
      </c>
      <c r="S2" s="1003" t="s">
        <v>2144</v>
      </c>
    </row>
    <row r="3" spans="1:22" s="1007" customFormat="1" ht="12.75" customHeight="1"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5"/>
      <c r="O3" s="1003"/>
      <c r="P3" s="1006"/>
      <c r="R3" s="1003"/>
      <c r="S3" s="1003"/>
    </row>
    <row r="4" spans="1:22" ht="18.75" customHeight="1">
      <c r="A4" s="996">
        <v>1</v>
      </c>
      <c r="B4" s="1054">
        <v>3128</v>
      </c>
      <c r="C4" s="1003" t="s">
        <v>2145</v>
      </c>
      <c r="D4" s="1011" t="s">
        <v>2090</v>
      </c>
      <c r="E4" s="1011" t="s">
        <v>2091</v>
      </c>
      <c r="F4" s="1011">
        <v>216</v>
      </c>
      <c r="G4" s="1011" t="s">
        <v>2146</v>
      </c>
      <c r="H4" s="1010">
        <v>14471573000</v>
      </c>
      <c r="I4" s="1019">
        <v>40428</v>
      </c>
      <c r="J4" s="1011">
        <v>165581978</v>
      </c>
      <c r="K4" s="1011">
        <v>165581978</v>
      </c>
      <c r="L4" s="1010"/>
      <c r="M4" s="1011"/>
      <c r="N4" s="1012"/>
      <c r="O4" s="1011"/>
      <c r="P4" s="1014">
        <f>K4+L4-O4</f>
        <v>165581978</v>
      </c>
      <c r="R4" s="1011" t="s">
        <v>2147</v>
      </c>
      <c r="S4" s="1016">
        <v>11</v>
      </c>
      <c r="T4" s="1055"/>
      <c r="U4" s="996">
        <f>SUM(J4:J12)</f>
        <v>1501432978</v>
      </c>
    </row>
    <row r="5" spans="1:22" ht="18.75" customHeight="1">
      <c r="B5" s="1054">
        <v>3128</v>
      </c>
      <c r="C5" s="1003"/>
      <c r="D5" s="1011" t="s">
        <v>2090</v>
      </c>
      <c r="E5" s="1011" t="s">
        <v>2091</v>
      </c>
      <c r="F5" s="1011">
        <v>216</v>
      </c>
      <c r="G5" s="1011" t="s">
        <v>2146</v>
      </c>
      <c r="H5" s="1010"/>
      <c r="I5" s="1019">
        <v>40462</v>
      </c>
      <c r="J5" s="1011">
        <v>10608500</v>
      </c>
      <c r="K5" s="1011">
        <v>10608500</v>
      </c>
      <c r="L5" s="1010"/>
      <c r="M5" s="1011"/>
      <c r="N5" s="1012"/>
      <c r="O5" s="1011"/>
      <c r="P5" s="1014">
        <f t="shared" ref="P5:P19" si="0">K5+L5-O5</f>
        <v>10608500</v>
      </c>
      <c r="R5" s="1011" t="s">
        <v>2147</v>
      </c>
      <c r="S5" s="1016">
        <v>11</v>
      </c>
      <c r="T5" s="1055"/>
      <c r="U5" s="996">
        <f>U4/10^7</f>
        <v>150.1432978</v>
      </c>
      <c r="V5" s="996">
        <f>U5+U6</f>
        <v>216.9972478</v>
      </c>
    </row>
    <row r="6" spans="1:22" ht="18.75" customHeight="1">
      <c r="B6" s="1054">
        <v>3128</v>
      </c>
      <c r="C6" s="1003"/>
      <c r="D6" s="1011" t="s">
        <v>2090</v>
      </c>
      <c r="E6" s="1011" t="s">
        <v>2091</v>
      </c>
      <c r="F6" s="1011">
        <v>216</v>
      </c>
      <c r="G6" s="1011" t="s">
        <v>2146</v>
      </c>
      <c r="H6" s="1010"/>
      <c r="I6" s="1019">
        <v>40464</v>
      </c>
      <c r="J6" s="1011">
        <v>153180000</v>
      </c>
      <c r="K6" s="1011">
        <v>153180000</v>
      </c>
      <c r="L6" s="1010"/>
      <c r="M6" s="1011"/>
      <c r="N6" s="1012"/>
      <c r="O6" s="1011"/>
      <c r="P6" s="1014">
        <f t="shared" si="0"/>
        <v>153180000</v>
      </c>
      <c r="R6" s="1011" t="s">
        <v>2147</v>
      </c>
      <c r="S6" s="1016">
        <v>11</v>
      </c>
      <c r="T6" s="1055"/>
      <c r="U6" s="996">
        <f>Annual_RECLoan!M106/10^7</f>
        <v>66.853949999999998</v>
      </c>
      <c r="V6" s="996">
        <f>V5+U7</f>
        <v>221.37283579999999</v>
      </c>
    </row>
    <row r="7" spans="1:22" ht="18.75" customHeight="1">
      <c r="B7" s="1054">
        <v>3128</v>
      </c>
      <c r="C7" s="1003"/>
      <c r="D7" s="1011" t="s">
        <v>2090</v>
      </c>
      <c r="E7" s="1011" t="s">
        <v>2091</v>
      </c>
      <c r="F7" s="1011">
        <v>216</v>
      </c>
      <c r="G7" s="1011" t="s">
        <v>2146</v>
      </c>
      <c r="H7" s="1010"/>
      <c r="I7" s="1019">
        <v>40525</v>
      </c>
      <c r="J7" s="1011">
        <v>20272800</v>
      </c>
      <c r="K7" s="1011">
        <v>20272800</v>
      </c>
      <c r="L7" s="1010"/>
      <c r="M7" s="1011"/>
      <c r="N7" s="1012"/>
      <c r="O7" s="1011"/>
      <c r="P7" s="1014">
        <f t="shared" si="0"/>
        <v>20272800</v>
      </c>
      <c r="R7" s="1011" t="s">
        <v>2147</v>
      </c>
      <c r="S7" s="1016">
        <v>11</v>
      </c>
      <c r="T7" s="1055"/>
      <c r="U7" s="996">
        <f>Monthly!M43/10^7</f>
        <v>4.3755879999999996</v>
      </c>
    </row>
    <row r="8" spans="1:22" ht="18.75" customHeight="1">
      <c r="B8" s="1054">
        <v>3128</v>
      </c>
      <c r="C8" s="1003"/>
      <c r="D8" s="1011" t="s">
        <v>2090</v>
      </c>
      <c r="E8" s="1011" t="s">
        <v>2091</v>
      </c>
      <c r="F8" s="1011">
        <v>216</v>
      </c>
      <c r="G8" s="1011" t="s">
        <v>2146</v>
      </c>
      <c r="H8" s="1010"/>
      <c r="I8" s="1019">
        <v>40543</v>
      </c>
      <c r="J8" s="1011">
        <v>403200000</v>
      </c>
      <c r="K8" s="1011">
        <v>403200000</v>
      </c>
      <c r="L8" s="1010"/>
      <c r="M8" s="1011"/>
      <c r="N8" s="1012"/>
      <c r="O8" s="1011"/>
      <c r="P8" s="1014">
        <f t="shared" si="0"/>
        <v>403200000</v>
      </c>
      <c r="R8" s="1011" t="s">
        <v>2147</v>
      </c>
      <c r="S8" s="1016">
        <v>11</v>
      </c>
      <c r="T8" s="1055"/>
    </row>
    <row r="9" spans="1:22" ht="18.75" customHeight="1">
      <c r="B9" s="1054">
        <v>3128</v>
      </c>
      <c r="C9" s="1003"/>
      <c r="D9" s="1011" t="s">
        <v>2090</v>
      </c>
      <c r="E9" s="1011" t="s">
        <v>2091</v>
      </c>
      <c r="F9" s="1011">
        <v>216</v>
      </c>
      <c r="G9" s="1011" t="s">
        <v>2146</v>
      </c>
      <c r="H9" s="1010"/>
      <c r="I9" s="1019">
        <v>40591</v>
      </c>
      <c r="J9" s="1011">
        <v>225000000</v>
      </c>
      <c r="K9" s="1011">
        <v>225000000</v>
      </c>
      <c r="L9" s="1010"/>
      <c r="M9" s="1011"/>
      <c r="N9" s="1012"/>
      <c r="O9" s="1011"/>
      <c r="P9" s="1014">
        <f t="shared" si="0"/>
        <v>225000000</v>
      </c>
      <c r="R9" s="1011" t="s">
        <v>2147</v>
      </c>
      <c r="S9" s="1016">
        <v>11.5</v>
      </c>
      <c r="T9" s="1055"/>
    </row>
    <row r="10" spans="1:22" ht="18.75" customHeight="1">
      <c r="B10" s="1054">
        <v>3128</v>
      </c>
      <c r="C10" s="1003"/>
      <c r="D10" s="1011" t="s">
        <v>2090</v>
      </c>
      <c r="E10" s="1011" t="s">
        <v>2091</v>
      </c>
      <c r="F10" s="1011">
        <v>216</v>
      </c>
      <c r="G10" s="1011" t="s">
        <v>2146</v>
      </c>
      <c r="H10" s="1010"/>
      <c r="I10" s="1019">
        <v>40620</v>
      </c>
      <c r="J10" s="1011">
        <v>225000000</v>
      </c>
      <c r="K10" s="1011">
        <v>225000000</v>
      </c>
      <c r="L10" s="1010"/>
      <c r="M10" s="1011"/>
      <c r="N10" s="1012"/>
      <c r="O10" s="1011"/>
      <c r="P10" s="1014">
        <f t="shared" si="0"/>
        <v>225000000</v>
      </c>
      <c r="R10" s="1011" t="s">
        <v>2147</v>
      </c>
      <c r="S10" s="1016">
        <v>11.5</v>
      </c>
      <c r="T10" s="1055"/>
    </row>
    <row r="11" spans="1:22" ht="18.75" customHeight="1">
      <c r="B11" s="1054">
        <v>3128</v>
      </c>
      <c r="C11" s="1003"/>
      <c r="D11" s="1011" t="s">
        <v>2090</v>
      </c>
      <c r="E11" s="1011" t="s">
        <v>2091</v>
      </c>
      <c r="F11" s="1011">
        <v>216</v>
      </c>
      <c r="G11" s="1011" t="s">
        <v>2146</v>
      </c>
      <c r="H11" s="1010"/>
      <c r="I11" s="1019">
        <v>40630</v>
      </c>
      <c r="J11" s="1011">
        <v>149294850</v>
      </c>
      <c r="K11" s="1011">
        <v>149294850</v>
      </c>
      <c r="L11" s="1010"/>
      <c r="M11" s="1011"/>
      <c r="N11" s="1012"/>
      <c r="O11" s="1011"/>
      <c r="P11" s="1014">
        <f t="shared" si="0"/>
        <v>149294850</v>
      </c>
      <c r="R11" s="1011" t="s">
        <v>2147</v>
      </c>
      <c r="S11" s="1016">
        <v>11.5</v>
      </c>
      <c r="T11" s="1055"/>
    </row>
    <row r="12" spans="1:22" ht="18.75" customHeight="1">
      <c r="B12" s="1054">
        <v>3128</v>
      </c>
      <c r="C12" s="1003"/>
      <c r="D12" s="1011" t="s">
        <v>2090</v>
      </c>
      <c r="E12" s="1011" t="s">
        <v>2091</v>
      </c>
      <c r="F12" s="1011">
        <v>216</v>
      </c>
      <c r="G12" s="1011" t="s">
        <v>2146</v>
      </c>
      <c r="H12" s="1010"/>
      <c r="I12" s="1019">
        <v>40630</v>
      </c>
      <c r="J12" s="1011">
        <v>149294850</v>
      </c>
      <c r="K12" s="1011">
        <v>149294850</v>
      </c>
      <c r="L12" s="1010"/>
      <c r="M12" s="1011"/>
      <c r="N12" s="1012"/>
      <c r="O12" s="1011"/>
      <c r="P12" s="1014">
        <f t="shared" si="0"/>
        <v>149294850</v>
      </c>
      <c r="R12" s="1011" t="s">
        <v>2147</v>
      </c>
      <c r="S12" s="1016">
        <v>11.5</v>
      </c>
      <c r="T12" s="1055"/>
    </row>
    <row r="13" spans="1:22" ht="18.75" customHeight="1">
      <c r="B13" s="1054">
        <v>3128</v>
      </c>
      <c r="C13" s="1003"/>
      <c r="D13" s="1011" t="s">
        <v>2090</v>
      </c>
      <c r="E13" s="1011" t="s">
        <v>2091</v>
      </c>
      <c r="F13" s="1011">
        <v>216</v>
      </c>
      <c r="G13" s="1011" t="s">
        <v>2146</v>
      </c>
      <c r="H13" s="1010"/>
      <c r="I13" s="1019" t="s">
        <v>2148</v>
      </c>
      <c r="J13" s="1011">
        <v>248824800</v>
      </c>
      <c r="K13" s="1011"/>
      <c r="L13" s="1010">
        <v>248824800</v>
      </c>
      <c r="M13" s="1011"/>
      <c r="N13" s="1012"/>
      <c r="O13" s="1011"/>
      <c r="P13" s="1014">
        <f t="shared" si="0"/>
        <v>248824800</v>
      </c>
      <c r="R13" s="1011" t="s">
        <v>2147</v>
      </c>
      <c r="S13" s="1016">
        <v>11.75</v>
      </c>
      <c r="T13" s="1055"/>
    </row>
    <row r="14" spans="1:22" ht="18.75" customHeight="1">
      <c r="B14" s="1054">
        <v>3128</v>
      </c>
      <c r="C14" s="1003"/>
      <c r="D14" s="1011" t="s">
        <v>2090</v>
      </c>
      <c r="E14" s="1011" t="s">
        <v>2091</v>
      </c>
      <c r="F14" s="1011">
        <v>216</v>
      </c>
      <c r="G14" s="1011" t="s">
        <v>2146</v>
      </c>
      <c r="H14" s="1010"/>
      <c r="I14" s="1019" t="s">
        <v>2136</v>
      </c>
      <c r="J14" s="1011">
        <v>348354700</v>
      </c>
      <c r="K14" s="1011"/>
      <c r="L14" s="1010">
        <v>348354700</v>
      </c>
      <c r="M14" s="1011"/>
      <c r="N14" s="1012"/>
      <c r="O14" s="1011"/>
      <c r="P14" s="1014">
        <f t="shared" si="0"/>
        <v>348354700</v>
      </c>
      <c r="R14" s="1011" t="s">
        <v>2147</v>
      </c>
      <c r="S14" s="1016">
        <v>12.25</v>
      </c>
      <c r="T14" s="1055"/>
    </row>
    <row r="15" spans="1:22" ht="18.75" customHeight="1">
      <c r="B15" s="1054">
        <v>3128</v>
      </c>
      <c r="C15" s="1003"/>
      <c r="D15" s="1011" t="s">
        <v>2090</v>
      </c>
      <c r="E15" s="1011" t="s">
        <v>2091</v>
      </c>
      <c r="F15" s="1011">
        <v>216</v>
      </c>
      <c r="G15" s="1011" t="s">
        <v>2146</v>
      </c>
      <c r="H15" s="1010"/>
      <c r="I15" s="1019" t="s">
        <v>2149</v>
      </c>
      <c r="J15" s="1011">
        <v>348354700</v>
      </c>
      <c r="K15" s="1011"/>
      <c r="L15" s="1010">
        <v>348354700</v>
      </c>
      <c r="M15" s="1011"/>
      <c r="N15" s="1012"/>
      <c r="O15" s="1011"/>
      <c r="P15" s="1014">
        <f t="shared" si="0"/>
        <v>348354700</v>
      </c>
      <c r="R15" s="1011" t="s">
        <v>2147</v>
      </c>
      <c r="S15" s="1016">
        <v>12.25</v>
      </c>
      <c r="T15" s="1055"/>
    </row>
    <row r="16" spans="1:22" ht="18.75" customHeight="1">
      <c r="B16" s="1054">
        <v>3128</v>
      </c>
      <c r="C16" s="1003"/>
      <c r="D16" s="1011" t="s">
        <v>2090</v>
      </c>
      <c r="E16" s="1011" t="s">
        <v>2091</v>
      </c>
      <c r="F16" s="1011">
        <v>216</v>
      </c>
      <c r="G16" s="1011" t="s">
        <v>2146</v>
      </c>
      <c r="H16" s="1010"/>
      <c r="I16" s="1019" t="s">
        <v>2150</v>
      </c>
      <c r="J16" s="1011">
        <v>71216000</v>
      </c>
      <c r="K16" s="1011"/>
      <c r="L16" s="1010">
        <v>71216000</v>
      </c>
      <c r="M16" s="1011"/>
      <c r="N16" s="1012"/>
      <c r="O16" s="1011"/>
      <c r="P16" s="1014">
        <f t="shared" si="0"/>
        <v>71216000</v>
      </c>
      <c r="R16" s="1011" t="s">
        <v>2147</v>
      </c>
      <c r="S16" s="1016">
        <v>12.25</v>
      </c>
      <c r="T16" s="1055"/>
    </row>
    <row r="17" spans="1:20" ht="18.75" customHeight="1">
      <c r="B17" s="1054">
        <v>3128</v>
      </c>
      <c r="C17" s="1003"/>
      <c r="D17" s="1011" t="s">
        <v>2090</v>
      </c>
      <c r="E17" s="1011" t="s">
        <v>2091</v>
      </c>
      <c r="F17" s="1011">
        <v>216</v>
      </c>
      <c r="G17" s="1011" t="s">
        <v>2146</v>
      </c>
      <c r="H17" s="1010"/>
      <c r="I17" s="1019" t="s">
        <v>2151</v>
      </c>
      <c r="J17" s="1011">
        <v>278683700</v>
      </c>
      <c r="K17" s="1011"/>
      <c r="L17" s="1010">
        <v>278683700</v>
      </c>
      <c r="M17" s="1011"/>
      <c r="N17" s="1012"/>
      <c r="O17" s="1011"/>
      <c r="P17" s="1014">
        <f t="shared" si="0"/>
        <v>278683700</v>
      </c>
      <c r="R17" s="1011" t="s">
        <v>2147</v>
      </c>
      <c r="S17" s="1016">
        <v>12.25</v>
      </c>
      <c r="T17" s="1055"/>
    </row>
    <row r="18" spans="1:20" ht="18.75" customHeight="1">
      <c r="B18" s="1054">
        <v>3128</v>
      </c>
      <c r="C18" s="1003"/>
      <c r="D18" s="1011" t="s">
        <v>2090</v>
      </c>
      <c r="E18" s="1011" t="s">
        <v>2091</v>
      </c>
      <c r="F18" s="1011">
        <v>216</v>
      </c>
      <c r="G18" s="1011" t="s">
        <v>2146</v>
      </c>
      <c r="H18" s="1010"/>
      <c r="I18" s="1019" t="s">
        <v>2152</v>
      </c>
      <c r="J18" s="1011">
        <v>298589700</v>
      </c>
      <c r="K18" s="1011"/>
      <c r="L18" s="1010">
        <v>298589700</v>
      </c>
      <c r="M18" s="1011"/>
      <c r="N18" s="1012"/>
      <c r="O18" s="1011"/>
      <c r="P18" s="1014">
        <f t="shared" si="0"/>
        <v>298589700</v>
      </c>
      <c r="R18" s="1011" t="s">
        <v>2147</v>
      </c>
      <c r="S18" s="1016">
        <v>12.5</v>
      </c>
      <c r="T18" s="1055"/>
    </row>
    <row r="19" spans="1:20" ht="18.75" customHeight="1">
      <c r="B19" s="1054">
        <v>3128</v>
      </c>
      <c r="C19" s="1003"/>
      <c r="D19" s="1011"/>
      <c r="E19" s="1011"/>
      <c r="F19" s="1011"/>
      <c r="G19" s="1011"/>
      <c r="H19" s="1010"/>
      <c r="I19" s="1011" t="s">
        <v>2153</v>
      </c>
      <c r="J19" s="1011">
        <v>248824800</v>
      </c>
      <c r="L19" s="1010">
        <v>248824800</v>
      </c>
      <c r="M19" s="1011"/>
      <c r="N19" s="1012"/>
      <c r="O19" s="1011"/>
      <c r="P19" s="1014">
        <f t="shared" si="0"/>
        <v>248824800</v>
      </c>
      <c r="R19" s="1011" t="s">
        <v>2147</v>
      </c>
      <c r="S19" s="1016">
        <v>12.5</v>
      </c>
    </row>
    <row r="20" spans="1:20" ht="21.95" customHeight="1">
      <c r="B20" s="1010"/>
      <c r="C20" s="1003"/>
      <c r="D20" s="1011"/>
      <c r="E20" s="1011"/>
      <c r="F20" s="1011"/>
      <c r="G20" s="1011"/>
      <c r="H20" s="1010"/>
      <c r="I20" s="1056" t="s">
        <v>287</v>
      </c>
      <c r="J20" s="1057">
        <f>J4+J5+J6+J7+J8+J9+J10+J11+J12+J13+J14+J15+J16+J17+J18+J19</f>
        <v>3344281378</v>
      </c>
      <c r="K20" s="1057">
        <f>K4+K5+K6+K7+K8+K9+K10+K11+K12+K13+K14+K15+K16+K17+K18</f>
        <v>1501432978</v>
      </c>
      <c r="L20" s="1057">
        <f>L4+L5+L6+L7+L8+L9+L10+L11+L12+L13+L14+L15+L16+L17+L18+L19</f>
        <v>1842848400</v>
      </c>
      <c r="M20" s="1057"/>
      <c r="N20" s="1058"/>
      <c r="O20" s="1057"/>
      <c r="P20" s="1059">
        <f>SUM(P4:P19)</f>
        <v>3344281378</v>
      </c>
      <c r="R20" s="1011"/>
      <c r="S20" s="1060"/>
    </row>
    <row r="21" spans="1:20" ht="32.25" customHeight="1">
      <c r="A21" s="996">
        <v>2</v>
      </c>
      <c r="B21" s="1054">
        <v>3279</v>
      </c>
      <c r="C21" s="1003" t="s">
        <v>2114</v>
      </c>
      <c r="D21" s="1011" t="s">
        <v>2090</v>
      </c>
      <c r="E21" s="1011" t="s">
        <v>2091</v>
      </c>
      <c r="F21" s="1011">
        <v>216</v>
      </c>
      <c r="G21" s="1011" t="s">
        <v>2146</v>
      </c>
      <c r="H21" s="1010">
        <v>876155000</v>
      </c>
      <c r="I21" s="1019">
        <v>40543</v>
      </c>
      <c r="J21" s="1011">
        <v>28463000</v>
      </c>
      <c r="K21" s="1011">
        <v>28463000</v>
      </c>
      <c r="L21" s="1010"/>
      <c r="M21" s="1011"/>
      <c r="N21" s="1012"/>
      <c r="O21" s="1011"/>
      <c r="P21" s="1014">
        <f>K21+L21-O21</f>
        <v>28463000</v>
      </c>
      <c r="R21" s="1011" t="s">
        <v>2154</v>
      </c>
      <c r="S21" s="1016">
        <v>11</v>
      </c>
    </row>
    <row r="22" spans="1:20" ht="21.95" customHeight="1">
      <c r="B22" s="1054">
        <v>3279</v>
      </c>
      <c r="C22" s="1003"/>
      <c r="D22" s="1011" t="s">
        <v>2090</v>
      </c>
      <c r="E22" s="1011" t="s">
        <v>2091</v>
      </c>
      <c r="F22" s="1011">
        <v>216</v>
      </c>
      <c r="G22" s="1011" t="s">
        <v>2146</v>
      </c>
      <c r="H22" s="1010"/>
      <c r="I22" s="1019">
        <v>40603</v>
      </c>
      <c r="J22" s="1011">
        <v>361005000</v>
      </c>
      <c r="K22" s="1011">
        <v>361005000</v>
      </c>
      <c r="L22" s="1010"/>
      <c r="M22" s="1011"/>
      <c r="N22" s="1012"/>
      <c r="O22" s="1011"/>
      <c r="P22" s="1014">
        <f>K22+L22-O22</f>
        <v>361005000</v>
      </c>
      <c r="R22" s="1011" t="s">
        <v>2154</v>
      </c>
      <c r="S22" s="1016">
        <v>11.5</v>
      </c>
    </row>
    <row r="23" spans="1:20" ht="21.95" customHeight="1">
      <c r="B23" s="1054"/>
      <c r="C23" s="1003"/>
      <c r="D23" s="1011"/>
      <c r="E23" s="1011"/>
      <c r="F23" s="1011"/>
      <c r="G23" s="1011"/>
      <c r="H23" s="1010"/>
      <c r="I23" s="1019" t="s">
        <v>2152</v>
      </c>
      <c r="J23" s="1011">
        <v>81552200</v>
      </c>
      <c r="K23" s="1011"/>
      <c r="L23" s="1010">
        <v>81552200</v>
      </c>
      <c r="M23" s="1011"/>
      <c r="N23" s="1012"/>
      <c r="O23" s="1011"/>
      <c r="P23" s="1014">
        <f>K23+L23-O23</f>
        <v>81552200</v>
      </c>
      <c r="R23" s="1011" t="s">
        <v>2154</v>
      </c>
      <c r="S23" s="1016">
        <v>12.5</v>
      </c>
    </row>
    <row r="24" spans="1:20" ht="17.25" hidden="1" customHeight="1">
      <c r="B24" s="1054"/>
      <c r="C24" s="1003"/>
      <c r="D24" s="1011"/>
      <c r="E24" s="1011"/>
      <c r="F24" s="1011"/>
      <c r="G24" s="1011"/>
      <c r="H24" s="1010"/>
      <c r="I24" s="1019"/>
      <c r="J24" s="1011"/>
      <c r="K24" s="1011"/>
      <c r="L24" s="1010"/>
      <c r="M24" s="1011"/>
      <c r="N24" s="1012"/>
      <c r="O24" s="1011"/>
      <c r="P24" s="1014"/>
      <c r="R24" s="1011"/>
      <c r="S24" s="1061"/>
    </row>
    <row r="25" spans="1:20" ht="17.25" customHeight="1">
      <c r="B25" s="1010"/>
      <c r="C25" s="1003"/>
      <c r="D25" s="1011"/>
      <c r="E25" s="1011"/>
      <c r="F25" s="1011"/>
      <c r="G25" s="1011"/>
      <c r="H25" s="1010"/>
      <c r="I25" s="1056" t="s">
        <v>287</v>
      </c>
      <c r="J25" s="1057">
        <f>J21+J22+J23</f>
        <v>471020200</v>
      </c>
      <c r="K25" s="1057">
        <f>K21+K22+K23</f>
        <v>389468000</v>
      </c>
      <c r="L25" s="1057">
        <f>L21+L22+L23</f>
        <v>81552200</v>
      </c>
      <c r="M25" s="1057"/>
      <c r="N25" s="1058"/>
      <c r="O25" s="1057">
        <v>0</v>
      </c>
      <c r="P25" s="1059">
        <f>SUM(P21:P24)</f>
        <v>471020200</v>
      </c>
      <c r="R25" s="1011"/>
      <c r="S25" s="1061"/>
    </row>
    <row r="26" spans="1:20" ht="25.5" customHeight="1">
      <c r="A26" s="996">
        <v>3</v>
      </c>
      <c r="B26" s="1054">
        <v>3280</v>
      </c>
      <c r="C26" s="1062" t="s">
        <v>2089</v>
      </c>
      <c r="D26" s="1011" t="s">
        <v>2090</v>
      </c>
      <c r="E26" s="1011" t="s">
        <v>2091</v>
      </c>
      <c r="F26" s="1011">
        <v>216</v>
      </c>
      <c r="G26" s="1011" t="s">
        <v>2146</v>
      </c>
      <c r="H26" s="1010">
        <v>1208084000</v>
      </c>
      <c r="I26" s="1019">
        <v>40543</v>
      </c>
      <c r="J26" s="1011">
        <v>19715000</v>
      </c>
      <c r="K26" s="1011">
        <v>19715000</v>
      </c>
      <c r="L26" s="1010"/>
      <c r="M26" s="1011"/>
      <c r="N26" s="1012"/>
      <c r="O26" s="1011"/>
      <c r="P26" s="1014">
        <f>K26+L26-O26</f>
        <v>19715000</v>
      </c>
      <c r="R26" s="1011" t="s">
        <v>2154</v>
      </c>
      <c r="S26" s="1016">
        <v>11</v>
      </c>
    </row>
    <row r="27" spans="1:20" ht="21.95" customHeight="1">
      <c r="B27" s="1054">
        <v>3280</v>
      </c>
      <c r="C27" s="1003"/>
      <c r="D27" s="1011" t="s">
        <v>2090</v>
      </c>
      <c r="E27" s="1011" t="s">
        <v>2091</v>
      </c>
      <c r="F27" s="1011">
        <v>216</v>
      </c>
      <c r="G27" s="1011" t="s">
        <v>2146</v>
      </c>
      <c r="H27" s="1010"/>
      <c r="I27" s="1019">
        <v>40603</v>
      </c>
      <c r="J27" s="1011">
        <v>123888000</v>
      </c>
      <c r="K27" s="1011">
        <v>123888000</v>
      </c>
      <c r="L27" s="1010"/>
      <c r="M27" s="1011"/>
      <c r="N27" s="1012"/>
      <c r="O27" s="1011"/>
      <c r="P27" s="1014">
        <f>K27+L27-O27</f>
        <v>123888000</v>
      </c>
      <c r="R27" s="1011" t="s">
        <v>2154</v>
      </c>
      <c r="S27" s="1016">
        <v>11.5</v>
      </c>
    </row>
    <row r="28" spans="1:20" ht="21.95" customHeight="1">
      <c r="B28" s="1054"/>
      <c r="C28" s="1003"/>
      <c r="D28" s="1011"/>
      <c r="E28" s="1011"/>
      <c r="F28" s="1011"/>
      <c r="G28" s="1011"/>
      <c r="H28" s="1010"/>
      <c r="I28" s="1019" t="s">
        <v>2155</v>
      </c>
      <c r="J28" s="1011">
        <v>38279600</v>
      </c>
      <c r="K28" s="1011"/>
      <c r="L28" s="1010">
        <v>38279600</v>
      </c>
      <c r="M28" s="1011"/>
      <c r="N28" s="1012"/>
      <c r="O28" s="1011"/>
      <c r="P28" s="1014">
        <f>K28+L28-O28</f>
        <v>38279600</v>
      </c>
      <c r="R28" s="1011" t="s">
        <v>2154</v>
      </c>
      <c r="S28" s="1016">
        <v>12.5</v>
      </c>
    </row>
    <row r="29" spans="1:20" ht="21.95" customHeight="1">
      <c r="B29" s="1010"/>
      <c r="C29" s="1003"/>
      <c r="D29" s="1011"/>
      <c r="E29" s="1011"/>
      <c r="F29" s="1011"/>
      <c r="G29" s="1011"/>
      <c r="H29" s="1010"/>
      <c r="I29" s="1063" t="s">
        <v>287</v>
      </c>
      <c r="J29" s="1056">
        <f>SUM(J26:J28)</f>
        <v>181882600</v>
      </c>
      <c r="K29" s="1056">
        <f>SUM(K26:K28)</f>
        <v>143603000</v>
      </c>
      <c r="L29" s="1057">
        <f>SUM(L26:L28)</f>
        <v>38279600</v>
      </c>
      <c r="M29" s="1056"/>
      <c r="N29" s="1064"/>
      <c r="O29" s="1056"/>
      <c r="P29" s="1065">
        <f>SUM(P26:P28)</f>
        <v>181882600</v>
      </c>
      <c r="R29" s="1011"/>
      <c r="S29" s="1061"/>
    </row>
    <row r="30" spans="1:20" ht="30" customHeight="1">
      <c r="A30" s="996">
        <v>4</v>
      </c>
      <c r="B30" s="1054">
        <v>4356</v>
      </c>
      <c r="C30" s="1003" t="s">
        <v>2156</v>
      </c>
      <c r="D30" s="1011" t="s">
        <v>2090</v>
      </c>
      <c r="E30" s="1011" t="s">
        <v>2091</v>
      </c>
      <c r="F30" s="1011">
        <v>216</v>
      </c>
      <c r="G30" s="1011" t="s">
        <v>2146</v>
      </c>
      <c r="H30" s="1010">
        <v>5324490000</v>
      </c>
      <c r="I30" s="1019" t="s">
        <v>2157</v>
      </c>
      <c r="J30" s="1011">
        <v>25413100</v>
      </c>
      <c r="K30" s="1011"/>
      <c r="L30" s="1010">
        <v>25413100</v>
      </c>
      <c r="M30" s="1011"/>
      <c r="N30" s="1012"/>
      <c r="O30" s="1011"/>
      <c r="P30" s="1014">
        <f>K30+L30-O30</f>
        <v>25413100</v>
      </c>
      <c r="R30" s="1011" t="s">
        <v>2158</v>
      </c>
      <c r="S30" s="1016">
        <v>12.5</v>
      </c>
    </row>
    <row r="31" spans="1:20" ht="21.95" hidden="1" customHeight="1">
      <c r="B31" s="1054">
        <v>4356</v>
      </c>
      <c r="C31" s="1003"/>
      <c r="D31" s="1011" t="s">
        <v>2090</v>
      </c>
      <c r="E31" s="1011" t="s">
        <v>2091</v>
      </c>
      <c r="F31" s="1011">
        <v>216</v>
      </c>
      <c r="G31" s="1011" t="s">
        <v>2146</v>
      </c>
      <c r="H31" s="1010"/>
      <c r="J31" s="1011"/>
      <c r="K31" s="1011"/>
      <c r="L31" s="1010"/>
      <c r="M31" s="1011"/>
      <c r="N31" s="1012"/>
      <c r="O31" s="1011"/>
      <c r="P31" s="1014"/>
      <c r="R31" s="1011"/>
      <c r="S31" s="1060" t="s">
        <v>2159</v>
      </c>
    </row>
    <row r="32" spans="1:20" ht="21.95" hidden="1" customHeight="1">
      <c r="B32" s="1054">
        <v>4356</v>
      </c>
      <c r="C32" s="1003"/>
      <c r="D32" s="1011"/>
      <c r="E32" s="1011"/>
      <c r="F32" s="1011"/>
      <c r="G32" s="1011"/>
      <c r="H32" s="1010"/>
      <c r="I32" s="1019"/>
      <c r="J32" s="1011"/>
      <c r="K32" s="1011"/>
      <c r="L32" s="1010"/>
      <c r="M32" s="1011"/>
      <c r="N32" s="1012"/>
      <c r="O32" s="1011"/>
      <c r="P32" s="1014"/>
      <c r="R32" s="1011"/>
      <c r="S32" s="1060"/>
    </row>
    <row r="33" spans="1:19" ht="21.95" hidden="1" customHeight="1">
      <c r="B33" s="1054"/>
      <c r="C33" s="1003"/>
      <c r="D33" s="1011"/>
      <c r="E33" s="1011"/>
      <c r="F33" s="1011"/>
      <c r="G33" s="1011"/>
      <c r="H33" s="1010"/>
      <c r="I33" s="1019"/>
      <c r="J33" s="1011"/>
      <c r="K33" s="1011"/>
      <c r="L33" s="1010"/>
      <c r="M33" s="1011"/>
      <c r="N33" s="1012"/>
      <c r="O33" s="1011"/>
      <c r="P33" s="1014"/>
      <c r="R33" s="1011"/>
      <c r="S33" s="1060" t="s">
        <v>2159</v>
      </c>
    </row>
    <row r="34" spans="1:19" ht="21.95" customHeight="1">
      <c r="B34" s="1010"/>
      <c r="C34" s="1003"/>
      <c r="D34" s="1011"/>
      <c r="E34" s="1011"/>
      <c r="F34" s="1011"/>
      <c r="G34" s="1011"/>
      <c r="H34" s="1010"/>
      <c r="I34" s="1056" t="s">
        <v>287</v>
      </c>
      <c r="J34" s="1056">
        <f>SUM(J30:J33)</f>
        <v>25413100</v>
      </c>
      <c r="K34" s="1057">
        <f>K30+K31+K33</f>
        <v>0</v>
      </c>
      <c r="L34" s="1057">
        <f>L30+L31+L33</f>
        <v>25413100</v>
      </c>
      <c r="M34" s="1057"/>
      <c r="N34" s="1058"/>
      <c r="O34" s="1057">
        <v>0</v>
      </c>
      <c r="P34" s="1059">
        <f>SUM(P30:P33)</f>
        <v>25413100</v>
      </c>
      <c r="R34" s="1011"/>
      <c r="S34" s="1060"/>
    </row>
    <row r="35" spans="1:19" ht="33.75" customHeight="1">
      <c r="A35" s="996">
        <v>5</v>
      </c>
      <c r="B35" s="1054">
        <v>4357</v>
      </c>
      <c r="C35" s="1062" t="s">
        <v>2160</v>
      </c>
      <c r="D35" s="1011" t="s">
        <v>2090</v>
      </c>
      <c r="E35" s="1011" t="s">
        <v>2091</v>
      </c>
      <c r="F35" s="1011">
        <v>216</v>
      </c>
      <c r="G35" s="1011" t="s">
        <v>2146</v>
      </c>
      <c r="H35" s="1010">
        <v>1869068250</v>
      </c>
      <c r="I35" s="1019" t="s">
        <v>2130</v>
      </c>
      <c r="J35" s="1011">
        <v>289035000</v>
      </c>
      <c r="K35" s="1011"/>
      <c r="L35" s="1010">
        <v>289035000</v>
      </c>
      <c r="M35" s="1011"/>
      <c r="N35" s="1012"/>
      <c r="O35" s="1011"/>
      <c r="P35" s="1014">
        <f>K35+L35-O35</f>
        <v>289035000</v>
      </c>
      <c r="R35" s="1011" t="s">
        <v>2161</v>
      </c>
      <c r="S35" s="1016">
        <v>12.25</v>
      </c>
    </row>
    <row r="36" spans="1:19" ht="21.95" customHeight="1">
      <c r="B36" s="1054">
        <v>4357</v>
      </c>
      <c r="C36" s="1003"/>
      <c r="D36" s="1011" t="s">
        <v>2090</v>
      </c>
      <c r="E36" s="1011" t="s">
        <v>2091</v>
      </c>
      <c r="F36" s="1011">
        <v>216</v>
      </c>
      <c r="G36" s="1011" t="s">
        <v>2146</v>
      </c>
      <c r="H36" s="1010"/>
      <c r="I36" s="1019" t="s">
        <v>2152</v>
      </c>
      <c r="J36" s="1011">
        <v>465932000</v>
      </c>
      <c r="K36" s="1011"/>
      <c r="L36" s="1010">
        <v>465932000</v>
      </c>
      <c r="M36" s="1011"/>
      <c r="N36" s="1012"/>
      <c r="O36" s="1011"/>
      <c r="P36" s="1014">
        <f>K36+L36-O36</f>
        <v>465932000</v>
      </c>
      <c r="R36" s="1011" t="s">
        <v>2161</v>
      </c>
      <c r="S36" s="1016">
        <v>12.5</v>
      </c>
    </row>
    <row r="37" spans="1:19" ht="21.95" hidden="1" customHeight="1">
      <c r="B37" s="1054">
        <v>4357</v>
      </c>
      <c r="C37" s="1003"/>
      <c r="D37" s="1011"/>
      <c r="E37" s="1011"/>
      <c r="F37" s="1011"/>
      <c r="G37" s="1011"/>
      <c r="H37" s="1010"/>
      <c r="I37" s="1019"/>
      <c r="J37" s="1011"/>
      <c r="K37" s="1011"/>
      <c r="L37" s="1010"/>
      <c r="M37" s="1011"/>
      <c r="N37" s="1012"/>
      <c r="O37" s="1011"/>
      <c r="P37" s="1014">
        <f>K37+L37-O37</f>
        <v>0</v>
      </c>
      <c r="R37" s="1011"/>
      <c r="S37" s="1011"/>
    </row>
    <row r="38" spans="1:19" ht="21.95" hidden="1" customHeight="1">
      <c r="B38" s="1010"/>
      <c r="C38" s="1003"/>
      <c r="D38" s="1011"/>
      <c r="E38" s="1011"/>
      <c r="F38" s="1011"/>
      <c r="G38" s="1011"/>
      <c r="H38" s="1010" t="e">
        <f>J36+K13:K17+M13</f>
        <v>#VALUE!</v>
      </c>
      <c r="I38" s="1019"/>
      <c r="J38" s="1011"/>
      <c r="K38" s="1011"/>
      <c r="L38" s="1010"/>
      <c r="M38" s="1011"/>
      <c r="N38" s="1012"/>
      <c r="O38" s="1011"/>
      <c r="P38" s="1014">
        <f>K38+L38-O38</f>
        <v>0</v>
      </c>
      <c r="R38" s="1011"/>
      <c r="S38" s="1011" t="s">
        <v>2159</v>
      </c>
    </row>
    <row r="39" spans="1:19" ht="17.25" customHeight="1">
      <c r="B39" s="1010"/>
      <c r="C39" s="1003"/>
      <c r="D39" s="1011"/>
      <c r="E39" s="1011"/>
      <c r="F39" s="1011"/>
      <c r="G39" s="1011"/>
      <c r="H39" s="1010"/>
      <c r="I39" s="1056" t="s">
        <v>287</v>
      </c>
      <c r="J39" s="1057">
        <f>SUM(J35:J38)</f>
        <v>754967000</v>
      </c>
      <c r="K39" s="1057">
        <f>SUM(K35:K38)</f>
        <v>0</v>
      </c>
      <c r="L39" s="1057">
        <f>SUM(L35:L38)</f>
        <v>754967000</v>
      </c>
      <c r="M39" s="1057"/>
      <c r="N39" s="1058"/>
      <c r="O39" s="1057"/>
      <c r="P39" s="1059">
        <f>SUM(P35:P38)</f>
        <v>754967000</v>
      </c>
      <c r="R39" s="1011"/>
      <c r="S39" s="1011"/>
    </row>
    <row r="40" spans="1:19" ht="26.25" customHeight="1">
      <c r="B40" s="1010"/>
      <c r="C40" s="1003"/>
      <c r="D40" s="1011"/>
      <c r="E40" s="1011"/>
      <c r="F40" s="1011"/>
      <c r="G40" s="1011"/>
      <c r="H40" s="1010"/>
      <c r="I40" s="996" t="s">
        <v>354</v>
      </c>
      <c r="J40" s="1042">
        <f>J20+J25+J29+J34+J39</f>
        <v>4777564278</v>
      </c>
      <c r="K40" s="1066">
        <f t="shared" ref="K40:P40" si="1">K20+K25+K39+K34+K29</f>
        <v>2034503978</v>
      </c>
      <c r="L40" s="1066">
        <f t="shared" si="1"/>
        <v>2743060300</v>
      </c>
      <c r="M40" s="1066">
        <f t="shared" si="1"/>
        <v>0</v>
      </c>
      <c r="N40" s="1066">
        <f t="shared" si="1"/>
        <v>0</v>
      </c>
      <c r="O40" s="1066">
        <f t="shared" si="1"/>
        <v>0</v>
      </c>
      <c r="P40" s="1066">
        <f t="shared" si="1"/>
        <v>4777564278</v>
      </c>
      <c r="R40" s="1011"/>
      <c r="S40" s="1011"/>
    </row>
    <row r="41" spans="1:19" ht="10.5" customHeight="1">
      <c r="B41" s="1010"/>
      <c r="C41" s="1003"/>
      <c r="D41" s="1011"/>
      <c r="E41" s="1011"/>
      <c r="F41" s="1011"/>
      <c r="G41" s="1011"/>
      <c r="H41" s="1010"/>
      <c r="I41" s="1011"/>
      <c r="J41" s="1010"/>
      <c r="K41" s="1010"/>
      <c r="L41" s="1010"/>
      <c r="M41" s="1010"/>
      <c r="N41" s="1038"/>
      <c r="O41" s="1010"/>
      <c r="P41" s="1039"/>
      <c r="R41" s="1011"/>
      <c r="S41" s="1011"/>
    </row>
    <row r="42" spans="1:19" ht="10.5" customHeight="1">
      <c r="B42" s="1010"/>
      <c r="C42" s="1003"/>
      <c r="D42" s="1011"/>
      <c r="E42" s="1011"/>
      <c r="F42" s="1011"/>
      <c r="G42" s="1011"/>
      <c r="H42" s="1010"/>
      <c r="I42" s="1011"/>
      <c r="J42" s="1010"/>
      <c r="K42" s="1042"/>
      <c r="L42" s="1042"/>
      <c r="M42" s="1010"/>
      <c r="N42" s="1038"/>
      <c r="O42" s="1010"/>
      <c r="P42" s="1039"/>
      <c r="R42" s="1011"/>
      <c r="S42" s="1011"/>
    </row>
    <row r="43" spans="1:19" ht="10.5" customHeight="1">
      <c r="B43" s="1010"/>
      <c r="C43" s="1003"/>
      <c r="D43" s="1011"/>
      <c r="E43" s="1011"/>
      <c r="F43" s="1011"/>
      <c r="G43" s="1011"/>
      <c r="H43" s="1010"/>
      <c r="I43" s="1011"/>
      <c r="J43" s="1010"/>
      <c r="K43" s="1010"/>
      <c r="L43" s="1010"/>
      <c r="M43" s="1010"/>
      <c r="N43" s="1038"/>
      <c r="O43" s="1010"/>
      <c r="P43" s="1039"/>
      <c r="R43" s="1011"/>
      <c r="S43" s="1011"/>
    </row>
    <row r="44" spans="1:19" ht="10.5" customHeight="1">
      <c r="B44" s="1010"/>
      <c r="C44" s="1003"/>
      <c r="D44" s="1011"/>
      <c r="E44" s="1011"/>
      <c r="F44" s="1011"/>
      <c r="G44" s="1011"/>
      <c r="H44" s="1010"/>
      <c r="I44" s="1011"/>
      <c r="J44" s="1010"/>
      <c r="K44" s="1010"/>
      <c r="L44" s="1010"/>
      <c r="M44" s="1010"/>
      <c r="N44" s="1038"/>
      <c r="O44" s="1010"/>
      <c r="P44" s="1039"/>
      <c r="R44" s="1011"/>
      <c r="S44" s="1011"/>
    </row>
    <row r="45" spans="1:19" ht="10.5" customHeight="1">
      <c r="B45" s="1010"/>
      <c r="C45" s="1003"/>
      <c r="D45" s="1011"/>
      <c r="E45" s="1011"/>
      <c r="F45" s="1011"/>
      <c r="G45" s="1011"/>
      <c r="H45" s="1010"/>
      <c r="I45" s="1011"/>
      <c r="J45" s="1010"/>
      <c r="K45" s="1010"/>
      <c r="L45" s="1010"/>
      <c r="M45" s="1010"/>
      <c r="N45" s="1038"/>
      <c r="O45" s="1010"/>
      <c r="P45" s="1039"/>
      <c r="R45" s="1011"/>
      <c r="S45" s="1011"/>
    </row>
    <row r="46" spans="1:19" ht="21.95" customHeight="1">
      <c r="B46" s="1010"/>
      <c r="C46" s="1003"/>
      <c r="D46" s="1011"/>
      <c r="E46" s="1011"/>
      <c r="F46" s="1011"/>
      <c r="G46" s="1011"/>
      <c r="H46" s="1010"/>
      <c r="I46" s="1011"/>
      <c r="J46" s="1010"/>
      <c r="K46" s="1010"/>
      <c r="L46" s="1010"/>
      <c r="M46" s="1010"/>
      <c r="N46" s="1038"/>
      <c r="O46" s="1010"/>
      <c r="P46" s="1039"/>
      <c r="R46" s="1011"/>
      <c r="S46" s="1011"/>
    </row>
    <row r="47" spans="1:19" ht="18" customHeight="1">
      <c r="I47" s="996" t="s">
        <v>1927</v>
      </c>
      <c r="J47" s="1044" t="e">
        <f>J20+J25+#REF!+#REF!+#REF!+J39</f>
        <v>#REF!</v>
      </c>
      <c r="K47" s="1044"/>
      <c r="L47" s="1044"/>
      <c r="M47" s="1044"/>
      <c r="N47" s="1046"/>
      <c r="O47" s="1044"/>
      <c r="P47" s="1047"/>
    </row>
    <row r="48" spans="1:19" ht="21.95" customHeight="1">
      <c r="L48" s="1044">
        <f>L40/10^7</f>
        <v>274.30603000000002</v>
      </c>
    </row>
    <row r="49" spans="11:18" ht="21.95" customHeight="1">
      <c r="K49" s="1048"/>
      <c r="L49" s="1048">
        <v>46.116349999999997</v>
      </c>
      <c r="M49" s="1048"/>
      <c r="N49" s="1049"/>
      <c r="O49" s="1048"/>
      <c r="P49" s="1050"/>
      <c r="R49" s="1048"/>
    </row>
    <row r="50" spans="11:18" ht="21.95" customHeight="1">
      <c r="K50" s="1048"/>
      <c r="L50" s="1048"/>
      <c r="M50" s="1048"/>
      <c r="N50" s="1051"/>
      <c r="O50" s="1048"/>
      <c r="P50" s="1050"/>
      <c r="R50" s="1048"/>
    </row>
    <row r="51" spans="11:18" ht="21.95" customHeight="1">
      <c r="K51" s="1048"/>
      <c r="L51" s="1048"/>
      <c r="M51" s="1048"/>
      <c r="N51" s="1049"/>
      <c r="O51" s="1048"/>
      <c r="P51" s="1050"/>
      <c r="R51" s="1048"/>
    </row>
    <row r="52" spans="11:18" ht="21.95" customHeight="1">
      <c r="K52" s="1048"/>
      <c r="L52" s="1048"/>
      <c r="M52" s="1048"/>
      <c r="N52" s="1049"/>
      <c r="O52" s="1048"/>
      <c r="P52" s="1050"/>
      <c r="R52" s="1048"/>
    </row>
  </sheetData>
  <pageMargins left="0.75" right="0.75" top="1" bottom="1" header="0.5" footer="0.5"/>
  <pageSetup paperSize="9" scale="57" orientation="landscape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B1:P114"/>
  <sheetViews>
    <sheetView workbookViewId="0">
      <selection activeCell="D3" sqref="D3"/>
    </sheetView>
  </sheetViews>
  <sheetFormatPr defaultRowHeight="12.75"/>
  <cols>
    <col min="1" max="1" width="15.28515625" style="837" customWidth="1"/>
    <col min="2" max="2" width="7.28515625" style="837" customWidth="1"/>
    <col min="3" max="3" width="10.5703125" style="837" customWidth="1"/>
    <col min="4" max="4" width="10.7109375" style="837" customWidth="1"/>
    <col min="5" max="5" width="8.7109375" style="837" customWidth="1"/>
    <col min="6" max="6" width="7.7109375" style="837" customWidth="1"/>
    <col min="7" max="7" width="11.140625" style="876" customWidth="1"/>
    <col min="8" max="8" width="10.85546875" style="837" customWidth="1"/>
    <col min="9" max="9" width="8.85546875" style="840" customWidth="1"/>
    <col min="10" max="10" width="8.28515625" style="837" customWidth="1"/>
    <col min="11" max="11" width="8.85546875" style="837" customWidth="1"/>
    <col min="12" max="12" width="10.5703125" style="837" customWidth="1"/>
    <col min="13" max="15" width="9.140625" style="837"/>
    <col min="16" max="16" width="10" style="837" bestFit="1" customWidth="1"/>
    <col min="17" max="16384" width="9.140625" style="837"/>
  </cols>
  <sheetData>
    <row r="1" spans="2:16">
      <c r="B1" s="868" t="s">
        <v>1928</v>
      </c>
      <c r="C1" s="838"/>
      <c r="D1" s="838"/>
      <c r="E1" s="838"/>
      <c r="F1" s="838"/>
      <c r="G1" s="839"/>
      <c r="H1" s="838"/>
    </row>
    <row r="2" spans="2:16">
      <c r="B2" s="895"/>
      <c r="C2" s="896" t="s">
        <v>1278</v>
      </c>
      <c r="D2" s="897">
        <v>3</v>
      </c>
      <c r="E2" s="898" t="s">
        <v>1895</v>
      </c>
      <c r="F2" s="895"/>
      <c r="G2" s="896" t="s">
        <v>1278</v>
      </c>
      <c r="H2" s="897">
        <v>3</v>
      </c>
      <c r="I2" s="898" t="s">
        <v>1895</v>
      </c>
      <c r="J2" s="895"/>
      <c r="K2" s="896" t="s">
        <v>1278</v>
      </c>
      <c r="L2" s="897">
        <v>3</v>
      </c>
      <c r="M2" s="898" t="s">
        <v>1895</v>
      </c>
      <c r="N2" s="846"/>
    </row>
    <row r="3" spans="2:16">
      <c r="B3" s="899" t="s">
        <v>1898</v>
      </c>
      <c r="C3" s="838"/>
      <c r="D3" s="838">
        <v>273208992</v>
      </c>
      <c r="E3" s="900">
        <v>9.2499999999999999E-2</v>
      </c>
      <c r="F3" s="899" t="s">
        <v>1898</v>
      </c>
      <c r="G3" s="838"/>
      <c r="H3" s="838">
        <f>D15</f>
        <v>218567172</v>
      </c>
      <c r="I3" s="900">
        <v>9.2499999999999999E-2</v>
      </c>
      <c r="J3" s="899" t="s">
        <v>1898</v>
      </c>
      <c r="K3" s="838"/>
      <c r="L3" s="838">
        <f>H15</f>
        <v>163925352</v>
      </c>
      <c r="M3" s="900">
        <v>9.2499999999999999E-2</v>
      </c>
      <c r="P3" s="837">
        <f>D3/10^7</f>
        <v>27.320899199999999</v>
      </c>
    </row>
    <row r="4" spans="2:16">
      <c r="B4" s="901">
        <v>40644</v>
      </c>
      <c r="C4" s="838">
        <v>4553485</v>
      </c>
      <c r="D4" s="847">
        <f t="shared" ref="D4:D15" si="0">D3-C4</f>
        <v>268655507</v>
      </c>
      <c r="E4" s="902">
        <v>2137809</v>
      </c>
      <c r="F4" s="903">
        <v>41011</v>
      </c>
      <c r="G4" s="838">
        <v>4553485</v>
      </c>
      <c r="H4" s="847">
        <f t="shared" ref="H4:H15" si="1">H3-G4</f>
        <v>214013687</v>
      </c>
      <c r="I4" s="902">
        <f>ROUND((H3*0.0925/365*31),0)</f>
        <v>1717100</v>
      </c>
      <c r="J4" s="903">
        <v>41377</v>
      </c>
      <c r="K4" s="838">
        <v>4553485</v>
      </c>
      <c r="L4" s="847">
        <f t="shared" ref="L4:L15" si="2">L3-K4</f>
        <v>159371867</v>
      </c>
      <c r="M4" s="902">
        <f>ROUND((L3*0.0925/365*31),0)</f>
        <v>1287825</v>
      </c>
    </row>
    <row r="5" spans="2:16">
      <c r="B5" s="901">
        <v>40674</v>
      </c>
      <c r="C5" s="838">
        <v>4553485</v>
      </c>
      <c r="D5" s="847">
        <f t="shared" si="0"/>
        <v>264102022</v>
      </c>
      <c r="E5" s="902">
        <v>2172253</v>
      </c>
      <c r="F5" s="903">
        <v>41041</v>
      </c>
      <c r="G5" s="838">
        <v>4553485</v>
      </c>
      <c r="H5" s="847">
        <f t="shared" si="1"/>
        <v>209460202</v>
      </c>
      <c r="I5" s="902">
        <f t="shared" ref="I5:I15" si="3">ROUND((H4*0.0925/365*31),0)</f>
        <v>1681327</v>
      </c>
      <c r="J5" s="903">
        <v>41409</v>
      </c>
      <c r="K5" s="838">
        <v>4553485</v>
      </c>
      <c r="L5" s="847">
        <f t="shared" si="2"/>
        <v>154818382</v>
      </c>
      <c r="M5" s="902">
        <f t="shared" ref="M5:M15" si="4">ROUND((L4*0.0925/365*31),0)</f>
        <v>1252052</v>
      </c>
    </row>
    <row r="6" spans="2:16" s="864" customFormat="1">
      <c r="B6" s="901">
        <v>40705</v>
      </c>
      <c r="C6" s="838">
        <v>4553485</v>
      </c>
      <c r="D6" s="847">
        <f t="shared" si="0"/>
        <v>259548537</v>
      </c>
      <c r="E6" s="902">
        <v>2066549</v>
      </c>
      <c r="F6" s="903">
        <v>41072</v>
      </c>
      <c r="G6" s="838">
        <v>4553485</v>
      </c>
      <c r="H6" s="847">
        <f t="shared" si="1"/>
        <v>204906717</v>
      </c>
      <c r="I6" s="902">
        <f t="shared" si="3"/>
        <v>1645554</v>
      </c>
      <c r="J6" s="903">
        <v>41441</v>
      </c>
      <c r="K6" s="838">
        <v>4553485</v>
      </c>
      <c r="L6" s="847">
        <f t="shared" si="2"/>
        <v>150264897</v>
      </c>
      <c r="M6" s="902">
        <f t="shared" si="4"/>
        <v>1216279</v>
      </c>
      <c r="N6" s="837"/>
      <c r="O6" s="837"/>
    </row>
    <row r="7" spans="2:16" s="868" customFormat="1">
      <c r="B7" s="901">
        <v>40735</v>
      </c>
      <c r="C7" s="838">
        <v>4553485</v>
      </c>
      <c r="D7" s="847">
        <f t="shared" si="0"/>
        <v>254995052</v>
      </c>
      <c r="E7" s="902">
        <v>2098618</v>
      </c>
      <c r="F7" s="903">
        <v>41102</v>
      </c>
      <c r="G7" s="838">
        <v>4553485</v>
      </c>
      <c r="H7" s="847">
        <f t="shared" si="1"/>
        <v>200353232</v>
      </c>
      <c r="I7" s="902">
        <f t="shared" si="3"/>
        <v>1609781</v>
      </c>
      <c r="J7" s="903">
        <v>41473</v>
      </c>
      <c r="K7" s="838">
        <v>4553485</v>
      </c>
      <c r="L7" s="847">
        <f t="shared" si="2"/>
        <v>145711412</v>
      </c>
      <c r="M7" s="902">
        <f t="shared" si="4"/>
        <v>1180506</v>
      </c>
      <c r="N7" s="837"/>
      <c r="O7" s="837"/>
    </row>
    <row r="8" spans="2:16" s="868" customFormat="1">
      <c r="B8" s="901">
        <v>40766</v>
      </c>
      <c r="C8" s="838">
        <v>4553485</v>
      </c>
      <c r="D8" s="847">
        <f t="shared" si="0"/>
        <v>250441567</v>
      </c>
      <c r="E8" s="902">
        <v>2061800</v>
      </c>
      <c r="F8" s="903">
        <v>41133</v>
      </c>
      <c r="G8" s="838">
        <v>4553485</v>
      </c>
      <c r="H8" s="847">
        <f t="shared" si="1"/>
        <v>195799747</v>
      </c>
      <c r="I8" s="902">
        <f t="shared" si="3"/>
        <v>1574008</v>
      </c>
      <c r="J8" s="903">
        <v>41505</v>
      </c>
      <c r="K8" s="838">
        <v>4553485</v>
      </c>
      <c r="L8" s="847">
        <f t="shared" si="2"/>
        <v>141157927</v>
      </c>
      <c r="M8" s="902">
        <f t="shared" si="4"/>
        <v>1144733</v>
      </c>
      <c r="N8" s="837"/>
      <c r="O8" s="837"/>
    </row>
    <row r="9" spans="2:16" s="864" customFormat="1">
      <c r="B9" s="901">
        <v>40797</v>
      </c>
      <c r="C9" s="838">
        <v>4553485</v>
      </c>
      <c r="D9" s="847">
        <f t="shared" si="0"/>
        <v>245888082</v>
      </c>
      <c r="E9" s="902">
        <v>1959661</v>
      </c>
      <c r="F9" s="903">
        <v>41164</v>
      </c>
      <c r="G9" s="838">
        <v>4553485</v>
      </c>
      <c r="H9" s="847">
        <f t="shared" si="1"/>
        <v>191246262</v>
      </c>
      <c r="I9" s="902">
        <f t="shared" si="3"/>
        <v>1538235</v>
      </c>
      <c r="J9" s="903">
        <v>41537</v>
      </c>
      <c r="K9" s="838">
        <v>4553485</v>
      </c>
      <c r="L9" s="847">
        <f t="shared" si="2"/>
        <v>136604442</v>
      </c>
      <c r="M9" s="902">
        <f t="shared" si="4"/>
        <v>1108960</v>
      </c>
      <c r="N9" s="837"/>
      <c r="O9" s="837"/>
    </row>
    <row r="10" spans="2:16" s="868" customFormat="1">
      <c r="B10" s="901">
        <v>40827</v>
      </c>
      <c r="C10" s="838">
        <v>4553485</v>
      </c>
      <c r="D10" s="847">
        <f t="shared" si="0"/>
        <v>241334597</v>
      </c>
      <c r="E10" s="902">
        <f t="shared" ref="E10:E15" si="5">ROUND((D9*0.0925/365*31),0)</f>
        <v>1931737</v>
      </c>
      <c r="F10" s="903">
        <v>41194</v>
      </c>
      <c r="G10" s="838">
        <v>4553485</v>
      </c>
      <c r="H10" s="847">
        <f t="shared" si="1"/>
        <v>186692777</v>
      </c>
      <c r="I10" s="902">
        <f t="shared" si="3"/>
        <v>1502462</v>
      </c>
      <c r="J10" s="903">
        <v>41569</v>
      </c>
      <c r="K10" s="838">
        <v>4553485</v>
      </c>
      <c r="L10" s="847">
        <f t="shared" si="2"/>
        <v>132050957</v>
      </c>
      <c r="M10" s="902">
        <f t="shared" si="4"/>
        <v>1073187</v>
      </c>
      <c r="N10" s="837"/>
      <c r="O10" s="837"/>
    </row>
    <row r="11" spans="2:16" s="864" customFormat="1">
      <c r="B11" s="901">
        <v>40858</v>
      </c>
      <c r="C11" s="838">
        <v>4553485</v>
      </c>
      <c r="D11" s="847">
        <f t="shared" si="0"/>
        <v>236781112</v>
      </c>
      <c r="E11" s="902">
        <f>ROUND((D10*0.0925/365*30),0)</f>
        <v>1834804</v>
      </c>
      <c r="F11" s="903">
        <v>41225</v>
      </c>
      <c r="G11" s="838">
        <v>4553485</v>
      </c>
      <c r="H11" s="847">
        <f t="shared" si="1"/>
        <v>182139292</v>
      </c>
      <c r="I11" s="902">
        <f t="shared" si="3"/>
        <v>1466689</v>
      </c>
      <c r="J11" s="903">
        <v>41601</v>
      </c>
      <c r="K11" s="838">
        <v>4553485</v>
      </c>
      <c r="L11" s="847">
        <f t="shared" si="2"/>
        <v>127497472</v>
      </c>
      <c r="M11" s="902">
        <f t="shared" si="4"/>
        <v>1037414</v>
      </c>
      <c r="N11" s="837"/>
      <c r="O11" s="837"/>
    </row>
    <row r="12" spans="2:16" s="868" customFormat="1">
      <c r="B12" s="901">
        <v>40888</v>
      </c>
      <c r="C12" s="838">
        <v>4553485</v>
      </c>
      <c r="D12" s="847">
        <f t="shared" si="0"/>
        <v>232227627</v>
      </c>
      <c r="E12" s="902">
        <f t="shared" si="5"/>
        <v>1860191</v>
      </c>
      <c r="F12" s="903">
        <v>41255</v>
      </c>
      <c r="G12" s="838">
        <v>4553485</v>
      </c>
      <c r="H12" s="847">
        <f t="shared" si="1"/>
        <v>177585807</v>
      </c>
      <c r="I12" s="902">
        <f t="shared" si="3"/>
        <v>1430916</v>
      </c>
      <c r="J12" s="903">
        <v>41633</v>
      </c>
      <c r="K12" s="838">
        <v>4553485</v>
      </c>
      <c r="L12" s="847">
        <f t="shared" si="2"/>
        <v>122943987</v>
      </c>
      <c r="M12" s="902">
        <f t="shared" si="4"/>
        <v>1001641</v>
      </c>
      <c r="N12" s="837"/>
      <c r="O12" s="837"/>
    </row>
    <row r="13" spans="2:16" s="868" customFormat="1">
      <c r="B13" s="901">
        <v>40555</v>
      </c>
      <c r="C13" s="838">
        <v>4553485</v>
      </c>
      <c r="D13" s="847">
        <f t="shared" si="0"/>
        <v>227674142</v>
      </c>
      <c r="E13" s="902">
        <f t="shared" si="5"/>
        <v>1824418</v>
      </c>
      <c r="F13" s="903">
        <v>41286</v>
      </c>
      <c r="G13" s="838">
        <v>4553485</v>
      </c>
      <c r="H13" s="847">
        <f t="shared" si="1"/>
        <v>173032322</v>
      </c>
      <c r="I13" s="902">
        <f t="shared" si="3"/>
        <v>1395143</v>
      </c>
      <c r="J13" s="903">
        <v>41665</v>
      </c>
      <c r="K13" s="838">
        <v>4553485</v>
      </c>
      <c r="L13" s="847">
        <f t="shared" si="2"/>
        <v>118390502</v>
      </c>
      <c r="M13" s="902">
        <f t="shared" si="4"/>
        <v>965868</v>
      </c>
      <c r="N13" s="837"/>
      <c r="O13" s="837"/>
    </row>
    <row r="14" spans="2:16" s="864" customFormat="1">
      <c r="B14" s="901">
        <v>40586</v>
      </c>
      <c r="C14" s="838">
        <v>4553485</v>
      </c>
      <c r="D14" s="847">
        <f t="shared" si="0"/>
        <v>223120657</v>
      </c>
      <c r="E14" s="902">
        <f>ROUND((D13*0.0925/365*29),0)</f>
        <v>1673249</v>
      </c>
      <c r="F14" s="903">
        <v>41317</v>
      </c>
      <c r="G14" s="838">
        <v>4553485</v>
      </c>
      <c r="H14" s="847">
        <f t="shared" si="1"/>
        <v>168478837</v>
      </c>
      <c r="I14" s="902">
        <f>ROUND((H13*0.0925/365*28),0)</f>
        <v>1227818</v>
      </c>
      <c r="J14" s="903">
        <v>41697</v>
      </c>
      <c r="K14" s="838">
        <v>4553485</v>
      </c>
      <c r="L14" s="847">
        <f t="shared" si="2"/>
        <v>113837017</v>
      </c>
      <c r="M14" s="902">
        <f>ROUND((L13*0.0925/365*28),0)</f>
        <v>840086</v>
      </c>
      <c r="N14" s="837"/>
      <c r="O14" s="837"/>
    </row>
    <row r="15" spans="2:16">
      <c r="B15" s="901">
        <v>40614</v>
      </c>
      <c r="C15" s="838">
        <v>4553485</v>
      </c>
      <c r="D15" s="847">
        <f t="shared" si="0"/>
        <v>218567172</v>
      </c>
      <c r="E15" s="902">
        <f t="shared" si="5"/>
        <v>1752873</v>
      </c>
      <c r="F15" s="903">
        <v>41345</v>
      </c>
      <c r="G15" s="838">
        <v>4553485</v>
      </c>
      <c r="H15" s="847">
        <f t="shared" si="1"/>
        <v>163925352</v>
      </c>
      <c r="I15" s="902">
        <f t="shared" si="3"/>
        <v>1323597</v>
      </c>
      <c r="J15" s="903">
        <v>41729</v>
      </c>
      <c r="K15" s="838">
        <v>4553485</v>
      </c>
      <c r="L15" s="847">
        <f t="shared" si="2"/>
        <v>109283532</v>
      </c>
      <c r="M15" s="902">
        <f t="shared" si="4"/>
        <v>894322</v>
      </c>
    </row>
    <row r="16" spans="2:16" s="864" customFormat="1">
      <c r="B16" s="904"/>
      <c r="C16" s="905">
        <f>SUM(C4:C15)</f>
        <v>54641820</v>
      </c>
      <c r="D16" s="905"/>
      <c r="E16" s="906">
        <f>SUM(E4:E15)</f>
        <v>23373962</v>
      </c>
      <c r="F16" s="904"/>
      <c r="G16" s="905">
        <f>SUM(G4:G15)</f>
        <v>54641820</v>
      </c>
      <c r="H16" s="905"/>
      <c r="I16" s="906">
        <f>SUM(I4:I15)</f>
        <v>18112630</v>
      </c>
      <c r="J16" s="904"/>
      <c r="K16" s="905">
        <f>SUM(K4:K15)</f>
        <v>54641820</v>
      </c>
      <c r="L16" s="905"/>
      <c r="M16" s="906">
        <f>SUM(M4:M15)</f>
        <v>13002873</v>
      </c>
    </row>
    <row r="17" spans="2:15" ht="15.75" customHeight="1">
      <c r="C17" s="838"/>
      <c r="D17" s="838"/>
      <c r="E17" s="838"/>
      <c r="F17" s="856"/>
      <c r="G17" s="839"/>
      <c r="H17" s="856"/>
    </row>
    <row r="18" spans="2:15">
      <c r="B18" s="895"/>
      <c r="C18" s="896" t="s">
        <v>1278</v>
      </c>
      <c r="D18" s="897">
        <v>3</v>
      </c>
      <c r="E18" s="898" t="s">
        <v>1895</v>
      </c>
      <c r="F18" s="895"/>
      <c r="G18" s="896" t="s">
        <v>1278</v>
      </c>
      <c r="H18" s="897">
        <v>3</v>
      </c>
      <c r="I18" s="898" t="s">
        <v>1895</v>
      </c>
    </row>
    <row r="19" spans="2:15">
      <c r="B19" s="899" t="s">
        <v>1898</v>
      </c>
      <c r="C19" s="838"/>
      <c r="D19" s="838">
        <f>L15</f>
        <v>109283532</v>
      </c>
      <c r="E19" s="900">
        <v>9.2499999999999999E-2</v>
      </c>
      <c r="F19" s="899" t="s">
        <v>1898</v>
      </c>
      <c r="G19" s="838"/>
      <c r="H19" s="838">
        <f>D31</f>
        <v>54641712</v>
      </c>
      <c r="I19" s="900">
        <v>9.2499999999999999E-2</v>
      </c>
      <c r="O19" s="837">
        <f>D3/10^7</f>
        <v>27.320899199999999</v>
      </c>
    </row>
    <row r="20" spans="2:15">
      <c r="B20" s="903">
        <v>41742</v>
      </c>
      <c r="C20" s="838">
        <v>4553485</v>
      </c>
      <c r="D20" s="847">
        <f t="shared" ref="D20:D31" si="6">D19-C20</f>
        <v>104730047</v>
      </c>
      <c r="E20" s="902">
        <f>ROUND((D19*0.0925/365*31),0)</f>
        <v>858549</v>
      </c>
      <c r="F20" s="903">
        <v>42107</v>
      </c>
      <c r="G20" s="838">
        <v>4553485</v>
      </c>
      <c r="H20" s="847">
        <f t="shared" ref="H20:H31" si="7">H19-G20</f>
        <v>50088227</v>
      </c>
      <c r="I20" s="902">
        <f>ROUND((H19*0.0925/365*31),0)</f>
        <v>429274</v>
      </c>
      <c r="O20" s="837">
        <f>'REC-Q'!D3/10^7</f>
        <v>34.387109000000002</v>
      </c>
    </row>
    <row r="21" spans="2:15">
      <c r="B21" s="903">
        <v>41774</v>
      </c>
      <c r="C21" s="838">
        <v>4553485</v>
      </c>
      <c r="D21" s="847">
        <f t="shared" si="6"/>
        <v>100176562</v>
      </c>
      <c r="E21" s="902">
        <f t="shared" ref="E21:E31" si="8">ROUND((D20*0.0925/365*31),0)</f>
        <v>822776</v>
      </c>
      <c r="F21" s="903">
        <v>42139</v>
      </c>
      <c r="G21" s="838">
        <v>4553485</v>
      </c>
      <c r="H21" s="847">
        <f t="shared" si="7"/>
        <v>45534742</v>
      </c>
      <c r="I21" s="902">
        <f t="shared" ref="I21:I31" si="9">ROUND((H20*0.0925/365*31),0)</f>
        <v>393501</v>
      </c>
      <c r="O21" s="837">
        <f>'REC-Y'!D3/10^7</f>
        <v>258.80975310000002</v>
      </c>
    </row>
    <row r="22" spans="2:15">
      <c r="B22" s="903">
        <v>41806</v>
      </c>
      <c r="C22" s="838">
        <v>4553485</v>
      </c>
      <c r="D22" s="847">
        <f t="shared" si="6"/>
        <v>95623077</v>
      </c>
      <c r="E22" s="902">
        <f t="shared" si="8"/>
        <v>787004</v>
      </c>
      <c r="F22" s="903">
        <v>42171</v>
      </c>
      <c r="G22" s="838">
        <v>4553485</v>
      </c>
      <c r="H22" s="847">
        <f t="shared" si="7"/>
        <v>40981257</v>
      </c>
      <c r="I22" s="902">
        <f t="shared" si="9"/>
        <v>357728</v>
      </c>
      <c r="O22" s="837">
        <f>O21+O20+O19</f>
        <v>320.51776130000002</v>
      </c>
    </row>
    <row r="23" spans="2:15">
      <c r="B23" s="903">
        <v>41838</v>
      </c>
      <c r="C23" s="838">
        <v>4553485</v>
      </c>
      <c r="D23" s="847">
        <f t="shared" si="6"/>
        <v>91069592</v>
      </c>
      <c r="E23" s="902">
        <f t="shared" si="8"/>
        <v>751231</v>
      </c>
      <c r="F23" s="903">
        <v>42203</v>
      </c>
      <c r="G23" s="838">
        <v>4553485</v>
      </c>
      <c r="H23" s="847">
        <f t="shared" si="7"/>
        <v>36427772</v>
      </c>
      <c r="I23" s="902">
        <f t="shared" si="9"/>
        <v>321955</v>
      </c>
      <c r="K23" s="868"/>
    </row>
    <row r="24" spans="2:15">
      <c r="B24" s="903">
        <v>41870</v>
      </c>
      <c r="C24" s="838">
        <v>4553485</v>
      </c>
      <c r="D24" s="847">
        <f t="shared" si="6"/>
        <v>86516107</v>
      </c>
      <c r="E24" s="902">
        <f t="shared" si="8"/>
        <v>715458</v>
      </c>
      <c r="F24" s="903">
        <v>42235</v>
      </c>
      <c r="G24" s="838">
        <v>4553485</v>
      </c>
      <c r="H24" s="847">
        <f t="shared" si="7"/>
        <v>31874287</v>
      </c>
      <c r="I24" s="902">
        <f t="shared" si="9"/>
        <v>286183</v>
      </c>
      <c r="K24" s="868"/>
    </row>
    <row r="25" spans="2:15">
      <c r="B25" s="903">
        <v>41902</v>
      </c>
      <c r="C25" s="838">
        <v>4553485</v>
      </c>
      <c r="D25" s="847">
        <f t="shared" si="6"/>
        <v>81962622</v>
      </c>
      <c r="E25" s="902">
        <f t="shared" si="8"/>
        <v>679685</v>
      </c>
      <c r="F25" s="903">
        <v>42267</v>
      </c>
      <c r="G25" s="838">
        <v>4553485</v>
      </c>
      <c r="H25" s="847">
        <f t="shared" si="7"/>
        <v>27320802</v>
      </c>
      <c r="I25" s="902">
        <f t="shared" si="9"/>
        <v>250410</v>
      </c>
    </row>
    <row r="26" spans="2:15">
      <c r="B26" s="903">
        <v>41934</v>
      </c>
      <c r="C26" s="838">
        <v>4553485</v>
      </c>
      <c r="D26" s="847">
        <f t="shared" si="6"/>
        <v>77409137</v>
      </c>
      <c r="E26" s="902">
        <f t="shared" si="8"/>
        <v>643912</v>
      </c>
      <c r="F26" s="903">
        <v>42299</v>
      </c>
      <c r="G26" s="838">
        <v>4553485</v>
      </c>
      <c r="H26" s="847">
        <f t="shared" si="7"/>
        <v>22767317</v>
      </c>
      <c r="I26" s="902">
        <f t="shared" si="9"/>
        <v>214637</v>
      </c>
    </row>
    <row r="27" spans="2:15">
      <c r="B27" s="903">
        <v>41966</v>
      </c>
      <c r="C27" s="838">
        <v>4553485</v>
      </c>
      <c r="D27" s="847">
        <f t="shared" si="6"/>
        <v>72855652</v>
      </c>
      <c r="E27" s="902">
        <f t="shared" si="8"/>
        <v>608139</v>
      </c>
      <c r="F27" s="903">
        <v>42331</v>
      </c>
      <c r="G27" s="838">
        <v>4553485</v>
      </c>
      <c r="H27" s="847">
        <f t="shared" si="7"/>
        <v>18213832</v>
      </c>
      <c r="I27" s="902">
        <f t="shared" si="9"/>
        <v>178864</v>
      </c>
    </row>
    <row r="28" spans="2:15">
      <c r="B28" s="903">
        <v>41998</v>
      </c>
      <c r="C28" s="838">
        <v>4553485</v>
      </c>
      <c r="D28" s="847">
        <f t="shared" si="6"/>
        <v>68302167</v>
      </c>
      <c r="E28" s="902">
        <f t="shared" si="8"/>
        <v>572366</v>
      </c>
      <c r="F28" s="903">
        <v>42363</v>
      </c>
      <c r="G28" s="838">
        <v>4553485</v>
      </c>
      <c r="H28" s="847">
        <f t="shared" si="7"/>
        <v>13660347</v>
      </c>
      <c r="I28" s="902">
        <f t="shared" si="9"/>
        <v>143091</v>
      </c>
    </row>
    <row r="29" spans="2:15">
      <c r="B29" s="903">
        <v>42030</v>
      </c>
      <c r="C29" s="838">
        <v>4553485</v>
      </c>
      <c r="D29" s="847">
        <f t="shared" si="6"/>
        <v>63748682</v>
      </c>
      <c r="E29" s="902">
        <f t="shared" si="8"/>
        <v>536593</v>
      </c>
      <c r="F29" s="903">
        <v>42395</v>
      </c>
      <c r="G29" s="838">
        <v>4553485</v>
      </c>
      <c r="H29" s="847">
        <f t="shared" si="7"/>
        <v>9106862</v>
      </c>
      <c r="I29" s="902">
        <f t="shared" si="9"/>
        <v>107318</v>
      </c>
    </row>
    <row r="30" spans="2:15">
      <c r="B30" s="903">
        <v>42062</v>
      </c>
      <c r="C30" s="838">
        <v>4553485</v>
      </c>
      <c r="D30" s="847">
        <f t="shared" si="6"/>
        <v>59195197</v>
      </c>
      <c r="E30" s="902">
        <f>ROUND((D29*0.0925/365*28),0)</f>
        <v>452354</v>
      </c>
      <c r="F30" s="903">
        <v>42427</v>
      </c>
      <c r="G30" s="838">
        <v>4553485</v>
      </c>
      <c r="H30" s="847">
        <f t="shared" si="7"/>
        <v>4553377</v>
      </c>
      <c r="I30" s="902">
        <f>ROUND((H29*0.0925/365*28),0)</f>
        <v>64621</v>
      </c>
    </row>
    <row r="31" spans="2:15">
      <c r="B31" s="903">
        <v>42094</v>
      </c>
      <c r="C31" s="838">
        <v>4553485</v>
      </c>
      <c r="D31" s="847">
        <f t="shared" si="6"/>
        <v>54641712</v>
      </c>
      <c r="E31" s="902">
        <f t="shared" si="8"/>
        <v>465047</v>
      </c>
      <c r="F31" s="903">
        <v>42459</v>
      </c>
      <c r="G31" s="838">
        <v>4553377</v>
      </c>
      <c r="H31" s="847">
        <f t="shared" si="7"/>
        <v>0</v>
      </c>
      <c r="I31" s="902">
        <f t="shared" si="9"/>
        <v>35772</v>
      </c>
    </row>
    <row r="32" spans="2:15">
      <c r="B32" s="904"/>
      <c r="C32" s="905">
        <f>SUM(C20:C31)</f>
        <v>54641820</v>
      </c>
      <c r="D32" s="905"/>
      <c r="E32" s="906">
        <f>SUM(E20:E31)</f>
        <v>7893114</v>
      </c>
      <c r="F32" s="904"/>
      <c r="G32" s="905">
        <f>SUM(G20:G31)</f>
        <v>54641712</v>
      </c>
      <c r="H32" s="905"/>
      <c r="I32" s="906">
        <f>SUM(I20:I31)</f>
        <v>2783354</v>
      </c>
    </row>
    <row r="33" spans="3:8" ht="17.25" customHeight="1">
      <c r="C33" s="866"/>
      <c r="D33" s="875"/>
      <c r="E33" s="875"/>
      <c r="F33" s="856"/>
      <c r="H33" s="856"/>
    </row>
    <row r="34" spans="3:8">
      <c r="C34" s="843"/>
      <c r="D34" s="844"/>
      <c r="E34" s="844"/>
      <c r="F34" s="845"/>
      <c r="G34" s="844"/>
      <c r="H34" s="845"/>
    </row>
    <row r="35" spans="3:8">
      <c r="C35" s="838"/>
      <c r="D35" s="838"/>
      <c r="E35" s="851"/>
      <c r="F35" s="852"/>
      <c r="G35" s="839"/>
      <c r="H35" s="853"/>
    </row>
    <row r="36" spans="3:8">
      <c r="C36" s="838"/>
      <c r="D36" s="847"/>
      <c r="E36" s="847"/>
      <c r="F36" s="856"/>
      <c r="G36" s="839"/>
      <c r="H36" s="857"/>
    </row>
    <row r="37" spans="3:8">
      <c r="C37" s="838"/>
      <c r="D37" s="847"/>
      <c r="E37" s="847"/>
      <c r="F37" s="856"/>
      <c r="G37" s="839"/>
      <c r="H37" s="857"/>
    </row>
    <row r="38" spans="3:8">
      <c r="C38" s="838"/>
      <c r="D38" s="847"/>
      <c r="E38" s="847"/>
      <c r="F38" s="856"/>
      <c r="G38" s="839"/>
      <c r="H38" s="857"/>
    </row>
    <row r="39" spans="3:8">
      <c r="C39" s="838"/>
      <c r="D39" s="847"/>
      <c r="E39" s="847"/>
      <c r="F39" s="856"/>
      <c r="G39" s="839"/>
      <c r="H39" s="857"/>
    </row>
    <row r="40" spans="3:8">
      <c r="C40" s="838"/>
      <c r="D40" s="847"/>
      <c r="E40" s="847"/>
      <c r="F40" s="856"/>
      <c r="G40" s="839"/>
      <c r="H40" s="857"/>
    </row>
    <row r="41" spans="3:8">
      <c r="C41" s="838"/>
      <c r="D41" s="847"/>
      <c r="E41" s="847"/>
      <c r="F41" s="856"/>
      <c r="G41" s="839"/>
      <c r="H41" s="857"/>
    </row>
    <row r="42" spans="3:8">
      <c r="C42" s="838"/>
      <c r="D42" s="847"/>
      <c r="E42" s="847"/>
      <c r="F42" s="856"/>
      <c r="G42" s="839"/>
      <c r="H42" s="857"/>
    </row>
    <row r="43" spans="3:8">
      <c r="C43" s="838"/>
      <c r="D43" s="847"/>
      <c r="E43" s="847"/>
      <c r="F43" s="856"/>
      <c r="G43" s="839"/>
      <c r="H43" s="857"/>
    </row>
    <row r="44" spans="3:8">
      <c r="C44" s="838"/>
      <c r="D44" s="847"/>
      <c r="E44" s="847"/>
      <c r="F44" s="856"/>
      <c r="G44" s="839"/>
      <c r="H44" s="857"/>
    </row>
    <row r="45" spans="3:8">
      <c r="C45" s="838"/>
      <c r="D45" s="847"/>
      <c r="E45" s="847"/>
      <c r="F45" s="856"/>
      <c r="G45" s="839"/>
      <c r="H45" s="857"/>
    </row>
    <row r="46" spans="3:8">
      <c r="C46" s="838"/>
      <c r="D46" s="847"/>
      <c r="E46" s="847"/>
      <c r="F46" s="856"/>
      <c r="G46" s="839"/>
      <c r="H46" s="857"/>
    </row>
    <row r="47" spans="3:8">
      <c r="C47" s="838"/>
      <c r="D47" s="847"/>
      <c r="E47" s="847"/>
      <c r="F47" s="856"/>
      <c r="G47" s="839"/>
      <c r="H47" s="857"/>
    </row>
    <row r="48" spans="3:8">
      <c r="C48" s="866"/>
      <c r="D48" s="866"/>
      <c r="E48" s="866"/>
      <c r="F48" s="872"/>
      <c r="G48" s="873"/>
      <c r="H48" s="857"/>
    </row>
    <row r="49" spans="3:8" ht="21" customHeight="1">
      <c r="F49" s="856"/>
      <c r="H49" s="856"/>
    </row>
    <row r="50" spans="3:8">
      <c r="C50" s="843" t="s">
        <v>1278</v>
      </c>
      <c r="D50" s="844">
        <v>3</v>
      </c>
      <c r="E50" s="844" t="s">
        <v>1895</v>
      </c>
      <c r="F50" s="845" t="s">
        <v>1896</v>
      </c>
      <c r="G50" s="844" t="s">
        <v>1897</v>
      </c>
      <c r="H50" s="845" t="s">
        <v>287</v>
      </c>
    </row>
    <row r="51" spans="3:8">
      <c r="C51" s="838"/>
      <c r="D51" s="838">
        <v>547800000</v>
      </c>
      <c r="E51" s="851">
        <v>0.105</v>
      </c>
      <c r="F51" s="852" t="s">
        <v>1894</v>
      </c>
      <c r="G51" s="839" t="e">
        <f>#REF!+#REF!+D51</f>
        <v>#REF!</v>
      </c>
      <c r="H51" s="853" t="s">
        <v>1895</v>
      </c>
    </row>
    <row r="52" spans="3:8">
      <c r="C52" s="838">
        <v>11900000</v>
      </c>
      <c r="D52" s="847">
        <f t="shared" ref="D52:D63" si="10">D51-C52</f>
        <v>535900000</v>
      </c>
      <c r="E52" s="847">
        <f>ROUND((D51*0.105/365*6)+(D52*0.105/365*24),0)</f>
        <v>4645430</v>
      </c>
      <c r="F52" s="856" t="e">
        <f>#REF!+#REF!+C52</f>
        <v>#REF!</v>
      </c>
      <c r="G52" s="839" t="e">
        <f>#REF!+#REF!+D52</f>
        <v>#REF!</v>
      </c>
      <c r="H52" s="857" t="e">
        <f>#REF!+#REF!+E52</f>
        <v>#REF!</v>
      </c>
    </row>
    <row r="53" spans="3:8">
      <c r="C53" s="838">
        <v>11900000</v>
      </c>
      <c r="D53" s="847">
        <f t="shared" si="10"/>
        <v>524000000</v>
      </c>
      <c r="E53" s="847">
        <f>ROUND((D52*0.105/365*6)+(D53*0.105/365*25),0)</f>
        <v>4693471</v>
      </c>
      <c r="F53" s="856" t="e">
        <f>#REF!+#REF!+C53</f>
        <v>#REF!</v>
      </c>
      <c r="G53" s="839" t="e">
        <f>#REF!+#REF!+D53</f>
        <v>#REF!</v>
      </c>
      <c r="H53" s="857" t="e">
        <f>#REF!+#REF!+E53</f>
        <v>#REF!</v>
      </c>
    </row>
    <row r="54" spans="3:8">
      <c r="C54" s="838">
        <v>11900000</v>
      </c>
      <c r="D54" s="847">
        <f t="shared" si="10"/>
        <v>512100000</v>
      </c>
      <c r="E54" s="847">
        <f>ROUND((D53*0.105/365*6)+(D54*0.105/365*24),0)</f>
        <v>4440033</v>
      </c>
      <c r="F54" s="856" t="e">
        <f>#REF!+#REF!+C54</f>
        <v>#REF!</v>
      </c>
      <c r="G54" s="839" t="e">
        <f>#REF!+#REF!+D54</f>
        <v>#REF!</v>
      </c>
      <c r="H54" s="857" t="e">
        <f>#REF!+#REF!+E54</f>
        <v>#REF!</v>
      </c>
    </row>
    <row r="55" spans="3:8">
      <c r="C55" s="838">
        <v>11900000</v>
      </c>
      <c r="D55" s="847">
        <f t="shared" si="10"/>
        <v>500200000</v>
      </c>
      <c r="E55" s="847">
        <f>ROUND((D54*0.105/365*6)+(D55*0.105/365*25),0)</f>
        <v>4481227</v>
      </c>
      <c r="F55" s="856" t="e">
        <f>#REF!+#REF!+C55</f>
        <v>#REF!</v>
      </c>
      <c r="G55" s="839" t="e">
        <f>#REF!+#REF!+D55</f>
        <v>#REF!</v>
      </c>
      <c r="H55" s="857" t="e">
        <f>#REF!+#REF!+E55</f>
        <v>#REF!</v>
      </c>
    </row>
    <row r="56" spans="3:8">
      <c r="C56" s="838">
        <v>11900000</v>
      </c>
      <c r="D56" s="847">
        <f t="shared" si="10"/>
        <v>488300000</v>
      </c>
      <c r="E56" s="847">
        <f>ROUND((D55*0.105/365*6)+(D56*0.105/365*25),0)</f>
        <v>4375105</v>
      </c>
      <c r="F56" s="856" t="e">
        <f>#REF!+#REF!+C56</f>
        <v>#REF!</v>
      </c>
      <c r="G56" s="839" t="e">
        <f>#REF!+#REF!+D56</f>
        <v>#REF!</v>
      </c>
      <c r="H56" s="857" t="e">
        <f>#REF!+#REF!+E56</f>
        <v>#REF!</v>
      </c>
    </row>
    <row r="57" spans="3:8">
      <c r="C57" s="838">
        <v>11900000</v>
      </c>
      <c r="D57" s="847">
        <f t="shared" si="10"/>
        <v>476400000</v>
      </c>
      <c r="E57" s="847">
        <f>ROUND((D56*0.105/365*6)+(D57*0.105/365*24),0)</f>
        <v>4131937</v>
      </c>
      <c r="F57" s="856" t="e">
        <f>#REF!+#REF!+C57</f>
        <v>#REF!</v>
      </c>
      <c r="G57" s="839" t="e">
        <f>#REF!+#REF!+D57</f>
        <v>#REF!</v>
      </c>
      <c r="H57" s="857" t="e">
        <f>#REF!+#REF!+E57</f>
        <v>#REF!</v>
      </c>
    </row>
    <row r="58" spans="3:8">
      <c r="C58" s="838">
        <v>11900000</v>
      </c>
      <c r="D58" s="847">
        <f t="shared" si="10"/>
        <v>464500000</v>
      </c>
      <c r="E58" s="847">
        <f>ROUND((D57*0.105/365*6)+(D58*0.105/365*25),0)</f>
        <v>4162862</v>
      </c>
      <c r="F58" s="856" t="e">
        <f>#REF!+#REF!+C58</f>
        <v>#REF!</v>
      </c>
      <c r="G58" s="839" t="e">
        <f>#REF!+#REF!+D58</f>
        <v>#REF!</v>
      </c>
      <c r="H58" s="857" t="e">
        <f>#REF!+#REF!+E58</f>
        <v>#REF!</v>
      </c>
    </row>
    <row r="59" spans="3:8">
      <c r="C59" s="838">
        <v>11900000</v>
      </c>
      <c r="D59" s="847">
        <f t="shared" si="10"/>
        <v>452600000</v>
      </c>
      <c r="E59" s="847">
        <f>ROUND((D58*0.105/365*6)+(D59*0.105/365*24),0)</f>
        <v>3926540</v>
      </c>
      <c r="F59" s="856" t="e">
        <f>#REF!+#REF!+C59</f>
        <v>#REF!</v>
      </c>
      <c r="G59" s="839" t="e">
        <f>#REF!+#REF!+D59</f>
        <v>#REF!</v>
      </c>
      <c r="H59" s="857" t="e">
        <f>#REF!+#REF!+E59</f>
        <v>#REF!</v>
      </c>
    </row>
    <row r="60" spans="3:8">
      <c r="C60" s="838">
        <v>11900000</v>
      </c>
      <c r="D60" s="847">
        <f t="shared" si="10"/>
        <v>440700000</v>
      </c>
      <c r="E60" s="847">
        <f>ROUND((D59*0.105/365*6)+(D60*0.105/365*25),0)</f>
        <v>3950618</v>
      </c>
      <c r="F60" s="856" t="e">
        <f>#REF!+#REF!+C60</f>
        <v>#REF!</v>
      </c>
      <c r="G60" s="839" t="e">
        <f>#REF!+#REF!+D60</f>
        <v>#REF!</v>
      </c>
      <c r="H60" s="857" t="e">
        <f>#REF!+#REF!+E60</f>
        <v>#REF!</v>
      </c>
    </row>
    <row r="61" spans="3:8">
      <c r="C61" s="838">
        <v>11900000</v>
      </c>
      <c r="D61" s="847">
        <f t="shared" si="10"/>
        <v>428800000</v>
      </c>
      <c r="E61" s="847">
        <f>ROUND((D60*0.105/366*6)+(D61*0.105/366*25),0)</f>
        <v>3833992</v>
      </c>
      <c r="F61" s="856" t="e">
        <f>#REF!+#REF!+C61</f>
        <v>#REF!</v>
      </c>
      <c r="G61" s="839" t="e">
        <f>#REF!+#REF!+D61</f>
        <v>#REF!</v>
      </c>
      <c r="H61" s="857" t="e">
        <f>#REF!+#REF!+E61</f>
        <v>#REF!</v>
      </c>
    </row>
    <row r="62" spans="3:8">
      <c r="C62" s="838">
        <v>11900000</v>
      </c>
      <c r="D62" s="847">
        <f t="shared" si="10"/>
        <v>416900000</v>
      </c>
      <c r="E62" s="847">
        <f>ROUND((D61*0.105/366*6)+(D62*0.105/366*23),0)</f>
        <v>3488955</v>
      </c>
      <c r="F62" s="856" t="e">
        <f>#REF!+#REF!+C62</f>
        <v>#REF!</v>
      </c>
      <c r="G62" s="839" t="e">
        <f>#REF!+#REF!+D62</f>
        <v>#REF!</v>
      </c>
      <c r="H62" s="857" t="e">
        <f>#REF!+#REF!+E62</f>
        <v>#REF!</v>
      </c>
    </row>
    <row r="63" spans="3:8">
      <c r="C63" s="838">
        <v>11900000</v>
      </c>
      <c r="D63" s="847">
        <f t="shared" si="10"/>
        <v>405000000</v>
      </c>
      <c r="E63" s="847">
        <f>ROUND((D62*0.105/366*6)+(D63*0.105/366*25),0)</f>
        <v>3622328</v>
      </c>
      <c r="F63" s="856" t="e">
        <f>#REF!+#REF!+C63</f>
        <v>#REF!</v>
      </c>
      <c r="G63" s="839" t="e">
        <f>#REF!+#REF!+D63</f>
        <v>#REF!</v>
      </c>
      <c r="H63" s="857" t="e">
        <f>#REF!+#REF!+E63</f>
        <v>#REF!</v>
      </c>
    </row>
    <row r="64" spans="3:8">
      <c r="C64" s="866">
        <f>SUM(C52:C63)</f>
        <v>142800000</v>
      </c>
      <c r="D64" s="866"/>
      <c r="E64" s="866">
        <f>SUM(E52:E63)</f>
        <v>49752498</v>
      </c>
      <c r="F64" s="872" t="e">
        <f>SUM(F52:F63)</f>
        <v>#REF!</v>
      </c>
      <c r="G64" s="873" t="e">
        <f>G51-F64</f>
        <v>#REF!</v>
      </c>
      <c r="H64" s="857" t="e">
        <f>#REF!+#REF!+E64</f>
        <v>#REF!</v>
      </c>
    </row>
    <row r="65" spans="3:8" ht="18.75" customHeight="1">
      <c r="F65" s="856"/>
      <c r="H65" s="856"/>
    </row>
    <row r="66" spans="3:8">
      <c r="C66" s="843" t="s">
        <v>1278</v>
      </c>
      <c r="D66" s="844">
        <v>3</v>
      </c>
      <c r="E66" s="844" t="s">
        <v>1895</v>
      </c>
      <c r="F66" s="845" t="s">
        <v>1896</v>
      </c>
      <c r="G66" s="844" t="s">
        <v>1897</v>
      </c>
      <c r="H66" s="845" t="s">
        <v>287</v>
      </c>
    </row>
    <row r="67" spans="3:8">
      <c r="C67" s="838"/>
      <c r="D67" s="838">
        <v>405000000</v>
      </c>
      <c r="E67" s="851">
        <v>0.105</v>
      </c>
      <c r="F67" s="852" t="s">
        <v>1894</v>
      </c>
      <c r="G67" s="839" t="e">
        <f>#REF!+#REF!+D67</f>
        <v>#REF!</v>
      </c>
      <c r="H67" s="853" t="s">
        <v>1895</v>
      </c>
    </row>
    <row r="68" spans="3:8">
      <c r="C68" s="838">
        <v>11900000</v>
      </c>
      <c r="D68" s="847">
        <f t="shared" ref="D68:D79" si="11">D67-C68</f>
        <v>393100000</v>
      </c>
      <c r="E68" s="847">
        <f>ROUND((D67*0.105/365*6)+(D68*0.105/365*24),0)</f>
        <v>3413047</v>
      </c>
      <c r="F68" s="856" t="e">
        <f>#REF!+#REF!+C68</f>
        <v>#REF!</v>
      </c>
      <c r="G68" s="839" t="e">
        <f>#REF!+#REF!+D68</f>
        <v>#REF!</v>
      </c>
      <c r="H68" s="857" t="e">
        <f>#REF!+#REF!+E68</f>
        <v>#REF!</v>
      </c>
    </row>
    <row r="69" spans="3:8">
      <c r="C69" s="838">
        <v>11900000</v>
      </c>
      <c r="D69" s="847">
        <f t="shared" si="11"/>
        <v>381200000</v>
      </c>
      <c r="E69" s="847">
        <f>ROUND((D68*0.105/365*6)+(D69*0.105/365*25),0)</f>
        <v>3420008</v>
      </c>
      <c r="F69" s="856" t="e">
        <f>#REF!+#REF!+C69</f>
        <v>#REF!</v>
      </c>
      <c r="G69" s="839" t="e">
        <f>#REF!+#REF!+D69</f>
        <v>#REF!</v>
      </c>
      <c r="H69" s="857" t="e">
        <f>#REF!+#REF!+E69</f>
        <v>#REF!</v>
      </c>
    </row>
    <row r="70" spans="3:8">
      <c r="C70" s="838">
        <v>11900000</v>
      </c>
      <c r="D70" s="847">
        <f t="shared" si="11"/>
        <v>369300000</v>
      </c>
      <c r="E70" s="847">
        <f>ROUND((D69*0.105/365*6)+(D70*0.105/365*24),0)</f>
        <v>3207649</v>
      </c>
      <c r="F70" s="856" t="e">
        <f>#REF!+#REF!+C70</f>
        <v>#REF!</v>
      </c>
      <c r="G70" s="839" t="e">
        <f>#REF!+#REF!+D70</f>
        <v>#REF!</v>
      </c>
      <c r="H70" s="857" t="e">
        <f>#REF!+#REF!+E70</f>
        <v>#REF!</v>
      </c>
    </row>
    <row r="71" spans="3:8">
      <c r="C71" s="838">
        <v>11900000</v>
      </c>
      <c r="D71" s="847">
        <f t="shared" si="11"/>
        <v>357400000</v>
      </c>
      <c r="E71" s="847">
        <f>ROUND((D70*0.105/365*6)+(D71*0.105/365*25),0)</f>
        <v>3207764</v>
      </c>
      <c r="F71" s="856" t="e">
        <f>#REF!+#REF!+C71</f>
        <v>#REF!</v>
      </c>
      <c r="G71" s="839" t="e">
        <f>#REF!+#REF!+D71</f>
        <v>#REF!</v>
      </c>
      <c r="H71" s="857" t="e">
        <f>#REF!+#REF!+E71</f>
        <v>#REF!</v>
      </c>
    </row>
    <row r="72" spans="3:8">
      <c r="C72" s="838">
        <v>11900000</v>
      </c>
      <c r="D72" s="847">
        <f t="shared" si="11"/>
        <v>345500000</v>
      </c>
      <c r="E72" s="847">
        <f>ROUND((D71*0.105/365*6)+(D72*0.105/365*25),0)</f>
        <v>3101642</v>
      </c>
      <c r="F72" s="856" t="e">
        <f>#REF!+#REF!+C72</f>
        <v>#REF!</v>
      </c>
      <c r="G72" s="839" t="e">
        <f>#REF!+#REF!+D72</f>
        <v>#REF!</v>
      </c>
      <c r="H72" s="857" t="e">
        <f>#REF!+#REF!+E72</f>
        <v>#REF!</v>
      </c>
    </row>
    <row r="73" spans="3:8">
      <c r="C73" s="838">
        <v>11900000</v>
      </c>
      <c r="D73" s="847">
        <f t="shared" si="11"/>
        <v>333600000</v>
      </c>
      <c r="E73" s="847">
        <f>ROUND((D72*0.105/365*6)+(D73*0.105/365*24),0)</f>
        <v>2899553</v>
      </c>
      <c r="F73" s="856" t="e">
        <f>#REF!+#REF!+C73</f>
        <v>#REF!</v>
      </c>
      <c r="G73" s="839" t="e">
        <f>#REF!+#REF!+D73</f>
        <v>#REF!</v>
      </c>
      <c r="H73" s="857" t="e">
        <f>#REF!+#REF!+E73</f>
        <v>#REF!</v>
      </c>
    </row>
    <row r="74" spans="3:8">
      <c r="C74" s="838">
        <v>11900000</v>
      </c>
      <c r="D74" s="847">
        <f t="shared" si="11"/>
        <v>321700000</v>
      </c>
      <c r="E74" s="847">
        <f>ROUND((D73*0.105/365*6)+(D74*0.105/365*25),0)</f>
        <v>2889399</v>
      </c>
      <c r="F74" s="856" t="e">
        <f>#REF!+#REF!+C74</f>
        <v>#REF!</v>
      </c>
      <c r="G74" s="839" t="e">
        <f>#REF!+#REF!+D74</f>
        <v>#REF!</v>
      </c>
      <c r="H74" s="857" t="e">
        <f>#REF!+#REF!+E74</f>
        <v>#REF!</v>
      </c>
    </row>
    <row r="75" spans="3:8">
      <c r="C75" s="838">
        <v>11900000</v>
      </c>
      <c r="D75" s="847">
        <f t="shared" si="11"/>
        <v>309800000</v>
      </c>
      <c r="E75" s="847">
        <f>ROUND((D74*0.105/365*6)+(D75*0.105/365*24),0)</f>
        <v>2694156</v>
      </c>
      <c r="F75" s="856" t="e">
        <f>#REF!+#REF!+C75</f>
        <v>#REF!</v>
      </c>
      <c r="G75" s="839" t="e">
        <f>#REF!+#REF!+D75</f>
        <v>#REF!</v>
      </c>
      <c r="H75" s="857" t="e">
        <f>#REF!+#REF!+E75</f>
        <v>#REF!</v>
      </c>
    </row>
    <row r="76" spans="3:8">
      <c r="C76" s="838">
        <v>11900000</v>
      </c>
      <c r="D76" s="847">
        <f t="shared" si="11"/>
        <v>297900000</v>
      </c>
      <c r="E76" s="847">
        <f>ROUND((D75*0.105/365*6)+(D76*0.105/365*25),0)</f>
        <v>2677155</v>
      </c>
      <c r="F76" s="856" t="e">
        <f>#REF!+#REF!+C76</f>
        <v>#REF!</v>
      </c>
      <c r="G76" s="839" t="e">
        <f>#REF!+#REF!+D76</f>
        <v>#REF!</v>
      </c>
      <c r="H76" s="857" t="e">
        <f>#REF!+#REF!+E76</f>
        <v>#REF!</v>
      </c>
    </row>
    <row r="77" spans="3:8">
      <c r="C77" s="838">
        <v>11900000</v>
      </c>
      <c r="D77" s="847">
        <f t="shared" si="11"/>
        <v>286000000</v>
      </c>
      <c r="E77" s="847">
        <f>ROUND((D76*0.105/366*6)+(D77*0.105/366*25),0)</f>
        <v>2564008</v>
      </c>
      <c r="F77" s="856" t="e">
        <f>#REF!+#REF!+C77</f>
        <v>#REF!</v>
      </c>
      <c r="G77" s="839" t="e">
        <f>#REF!+#REF!+D77</f>
        <v>#REF!</v>
      </c>
      <c r="H77" s="857" t="e">
        <f>#REF!+#REF!+E77</f>
        <v>#REF!</v>
      </c>
    </row>
    <row r="78" spans="3:8">
      <c r="C78" s="838">
        <v>11900000</v>
      </c>
      <c r="D78" s="847">
        <f t="shared" si="11"/>
        <v>274100000</v>
      </c>
      <c r="E78" s="847">
        <f>ROUND((D77*0.105/366*6)+(D78*0.105/366*23),0)</f>
        <v>2300906</v>
      </c>
      <c r="F78" s="856" t="e">
        <f>#REF!+#REF!+C78</f>
        <v>#REF!</v>
      </c>
      <c r="G78" s="839" t="e">
        <f>#REF!+#REF!+D78</f>
        <v>#REF!</v>
      </c>
      <c r="H78" s="857" t="e">
        <f>#REF!+#REF!+E78</f>
        <v>#REF!</v>
      </c>
    </row>
    <row r="79" spans="3:8">
      <c r="C79" s="838">
        <v>11900000</v>
      </c>
      <c r="D79" s="847">
        <f t="shared" si="11"/>
        <v>262200000</v>
      </c>
      <c r="E79" s="847">
        <f>ROUND((D78*0.105/366*6)+(D79*0.105/366*25),0)</f>
        <v>2352344</v>
      </c>
      <c r="F79" s="856" t="e">
        <f>#REF!+#REF!+C79</f>
        <v>#REF!</v>
      </c>
      <c r="G79" s="839" t="e">
        <f>#REF!+#REF!+D79</f>
        <v>#REF!</v>
      </c>
      <c r="H79" s="857" t="e">
        <f>#REF!+#REF!+E79</f>
        <v>#REF!</v>
      </c>
    </row>
    <row r="80" spans="3:8">
      <c r="C80" s="866">
        <f>SUM(C68:C79)</f>
        <v>142800000</v>
      </c>
      <c r="D80" s="866"/>
      <c r="E80" s="866">
        <f>SUM(E68:E79)</f>
        <v>34727631</v>
      </c>
      <c r="F80" s="872" t="e">
        <f>SUM(F68:F79)</f>
        <v>#REF!</v>
      </c>
      <c r="G80" s="873" t="e">
        <f>G67-F80</f>
        <v>#REF!</v>
      </c>
      <c r="H80" s="857" t="e">
        <f>#REF!+#REF!+E80</f>
        <v>#REF!</v>
      </c>
    </row>
    <row r="81" spans="3:8" ht="18" customHeight="1">
      <c r="F81" s="856"/>
      <c r="H81" s="856"/>
    </row>
    <row r="82" spans="3:8">
      <c r="C82" s="843" t="s">
        <v>1278</v>
      </c>
      <c r="D82" s="844">
        <v>3</v>
      </c>
      <c r="E82" s="844" t="s">
        <v>1895</v>
      </c>
      <c r="F82" s="845" t="s">
        <v>1896</v>
      </c>
      <c r="G82" s="844" t="s">
        <v>1897</v>
      </c>
      <c r="H82" s="845" t="s">
        <v>287</v>
      </c>
    </row>
    <row r="83" spans="3:8">
      <c r="C83" s="838"/>
      <c r="D83" s="838">
        <v>262200000</v>
      </c>
      <c r="E83" s="851">
        <v>0.105</v>
      </c>
      <c r="F83" s="852" t="s">
        <v>1894</v>
      </c>
      <c r="G83" s="839" t="e">
        <f>#REF!+#REF!+D83</f>
        <v>#REF!</v>
      </c>
      <c r="H83" s="853" t="s">
        <v>1895</v>
      </c>
    </row>
    <row r="84" spans="3:8">
      <c r="C84" s="838">
        <v>11900000</v>
      </c>
      <c r="D84" s="847">
        <f t="shared" ref="D84:D95" si="12">D83-C84</f>
        <v>250300000</v>
      </c>
      <c r="E84" s="847">
        <f>ROUND((D83*0.105/365*6)+(D84*0.105/365*24),0)</f>
        <v>2180663</v>
      </c>
      <c r="F84" s="856" t="e">
        <f>#REF!+#REF!+C84</f>
        <v>#REF!</v>
      </c>
      <c r="G84" s="839" t="e">
        <f>#REF!+#REF!+D84</f>
        <v>#REF!</v>
      </c>
      <c r="H84" s="857" t="e">
        <f>#REF!+#REF!+E84</f>
        <v>#REF!</v>
      </c>
    </row>
    <row r="85" spans="3:8">
      <c r="C85" s="838">
        <v>11900000</v>
      </c>
      <c r="D85" s="847">
        <f t="shared" si="12"/>
        <v>238400000</v>
      </c>
      <c r="E85" s="847">
        <f>ROUND((D84*0.105/365*6)+(D85*0.105/365*25),0)</f>
        <v>2146545</v>
      </c>
      <c r="F85" s="856" t="e">
        <f>#REF!+#REF!+C85</f>
        <v>#REF!</v>
      </c>
      <c r="G85" s="839" t="e">
        <f>#REF!+#REF!+D85</f>
        <v>#REF!</v>
      </c>
      <c r="H85" s="857" t="e">
        <f>#REF!+#REF!+E85</f>
        <v>#REF!</v>
      </c>
    </row>
    <row r="86" spans="3:8">
      <c r="C86" s="838">
        <v>11900000</v>
      </c>
      <c r="D86" s="847">
        <f t="shared" si="12"/>
        <v>226500000</v>
      </c>
      <c r="E86" s="847">
        <f>ROUND((D85*0.105/365*6)+(D86*0.105/365*24),0)</f>
        <v>1975266</v>
      </c>
      <c r="F86" s="856" t="e">
        <f>#REF!+#REF!+C86</f>
        <v>#REF!</v>
      </c>
      <c r="G86" s="839" t="e">
        <f>#REF!+#REF!+D86</f>
        <v>#REF!</v>
      </c>
      <c r="H86" s="857" t="e">
        <f>#REF!+#REF!+E86</f>
        <v>#REF!</v>
      </c>
    </row>
    <row r="87" spans="3:8">
      <c r="C87" s="838">
        <v>11900000</v>
      </c>
      <c r="D87" s="847">
        <f t="shared" si="12"/>
        <v>214600000</v>
      </c>
      <c r="E87" s="847">
        <f>ROUND((D86*0.105/365*6)+(D87*0.105/365*25),0)</f>
        <v>1934301</v>
      </c>
      <c r="F87" s="856" t="e">
        <f>#REF!+#REF!+C87</f>
        <v>#REF!</v>
      </c>
      <c r="G87" s="839" t="e">
        <f>#REF!+#REF!+D87</f>
        <v>#REF!</v>
      </c>
      <c r="H87" s="857" t="e">
        <f>#REF!+#REF!+E87</f>
        <v>#REF!</v>
      </c>
    </row>
    <row r="88" spans="3:8">
      <c r="C88" s="838">
        <v>11900000</v>
      </c>
      <c r="D88" s="847">
        <f t="shared" si="12"/>
        <v>202700000</v>
      </c>
      <c r="E88" s="847">
        <f>ROUND((D87*0.105/365*6)+(D88*0.105/365*25),0)</f>
        <v>1828179</v>
      </c>
      <c r="F88" s="856" t="e">
        <f>#REF!+#REF!+C88</f>
        <v>#REF!</v>
      </c>
      <c r="G88" s="839" t="e">
        <f>#REF!+#REF!+D88</f>
        <v>#REF!</v>
      </c>
      <c r="H88" s="857" t="e">
        <f>#REF!+#REF!+E88</f>
        <v>#REF!</v>
      </c>
    </row>
    <row r="89" spans="3:8">
      <c r="C89" s="838">
        <v>11900000</v>
      </c>
      <c r="D89" s="847">
        <f t="shared" si="12"/>
        <v>190800000</v>
      </c>
      <c r="E89" s="847">
        <f>ROUND((D88*0.105/365*6)+(D89*0.105/365*24),0)</f>
        <v>1667170</v>
      </c>
      <c r="F89" s="856" t="e">
        <f>#REF!+#REF!+C89</f>
        <v>#REF!</v>
      </c>
      <c r="G89" s="839" t="e">
        <f>#REF!+#REF!+D89</f>
        <v>#REF!</v>
      </c>
      <c r="H89" s="857" t="e">
        <f>#REF!+#REF!+E89</f>
        <v>#REF!</v>
      </c>
    </row>
    <row r="90" spans="3:8">
      <c r="C90" s="838">
        <v>11900000</v>
      </c>
      <c r="D90" s="847">
        <f t="shared" si="12"/>
        <v>178900000</v>
      </c>
      <c r="E90" s="847">
        <f>ROUND((D89*0.105/365*6)+(D90*0.105/365*25),0)</f>
        <v>1615936</v>
      </c>
      <c r="F90" s="856" t="e">
        <f>#REF!+#REF!+C90</f>
        <v>#REF!</v>
      </c>
      <c r="G90" s="839" t="e">
        <f>#REF!+#REF!+D90</f>
        <v>#REF!</v>
      </c>
      <c r="H90" s="857" t="e">
        <f>#REF!+#REF!+E90</f>
        <v>#REF!</v>
      </c>
    </row>
    <row r="91" spans="3:8">
      <c r="C91" s="838">
        <v>11900000</v>
      </c>
      <c r="D91" s="847">
        <f t="shared" si="12"/>
        <v>167000000</v>
      </c>
      <c r="E91" s="847">
        <f>ROUND((D90*0.105/365*6)+(D91*0.105/365*24),0)</f>
        <v>1461773</v>
      </c>
      <c r="F91" s="856" t="e">
        <f>#REF!+#REF!+C91</f>
        <v>#REF!</v>
      </c>
      <c r="G91" s="839" t="e">
        <f>#REF!+#REF!+D91</f>
        <v>#REF!</v>
      </c>
      <c r="H91" s="857" t="e">
        <f>#REF!+#REF!+E91</f>
        <v>#REF!</v>
      </c>
    </row>
    <row r="92" spans="3:8">
      <c r="C92" s="838">
        <v>11900000</v>
      </c>
      <c r="D92" s="847">
        <f t="shared" si="12"/>
        <v>155100000</v>
      </c>
      <c r="E92" s="847">
        <f>ROUND((D91*0.105/365*6)+(D92*0.105/365*25),0)</f>
        <v>1403692</v>
      </c>
      <c r="F92" s="856" t="e">
        <f>#REF!+#REF!+C92</f>
        <v>#REF!</v>
      </c>
      <c r="G92" s="839" t="e">
        <f>#REF!+#REF!+D92</f>
        <v>#REF!</v>
      </c>
      <c r="H92" s="857" t="e">
        <f>#REF!+#REF!+E92</f>
        <v>#REF!</v>
      </c>
    </row>
    <row r="93" spans="3:8">
      <c r="C93" s="838">
        <v>11900000</v>
      </c>
      <c r="D93" s="847">
        <f t="shared" si="12"/>
        <v>143200000</v>
      </c>
      <c r="E93" s="847">
        <f>ROUND((D92*0.105/366*6)+(D93*0.105/366*25),0)</f>
        <v>1294025</v>
      </c>
      <c r="F93" s="856" t="e">
        <f>#REF!+#REF!+C93</f>
        <v>#REF!</v>
      </c>
      <c r="G93" s="839" t="e">
        <f>#REF!+#REF!+D93</f>
        <v>#REF!</v>
      </c>
      <c r="H93" s="857" t="e">
        <f>#REF!+#REF!+E93</f>
        <v>#REF!</v>
      </c>
    </row>
    <row r="94" spans="3:8">
      <c r="C94" s="838">
        <v>11900000</v>
      </c>
      <c r="D94" s="847">
        <f t="shared" si="12"/>
        <v>131300000</v>
      </c>
      <c r="E94" s="847">
        <f>ROUND((D93*0.105/366*6)+(D94*0.105/366*23),0)</f>
        <v>1112857</v>
      </c>
      <c r="F94" s="856" t="e">
        <f>#REF!+#REF!+C94</f>
        <v>#REF!</v>
      </c>
      <c r="G94" s="839" t="e">
        <f>#REF!+#REF!+D94</f>
        <v>#REF!</v>
      </c>
      <c r="H94" s="857" t="e">
        <f>#REF!+#REF!+E94</f>
        <v>#REF!</v>
      </c>
    </row>
    <row r="95" spans="3:8">
      <c r="C95" s="838">
        <v>11900000</v>
      </c>
      <c r="D95" s="847">
        <f t="shared" si="12"/>
        <v>119400000</v>
      </c>
      <c r="E95" s="847">
        <f>ROUND((D94*0.105/366*6)+(D95*0.105/366*25),0)</f>
        <v>1082361</v>
      </c>
      <c r="F95" s="856" t="e">
        <f>#REF!+#REF!+C95</f>
        <v>#REF!</v>
      </c>
      <c r="G95" s="839" t="e">
        <f>#REF!+#REF!+D95</f>
        <v>#REF!</v>
      </c>
      <c r="H95" s="857" t="e">
        <f>#REF!+#REF!+E95</f>
        <v>#REF!</v>
      </c>
    </row>
    <row r="96" spans="3:8">
      <c r="C96" s="866">
        <f>SUM(C84:C95)</f>
        <v>142800000</v>
      </c>
      <c r="D96" s="866"/>
      <c r="E96" s="866">
        <f>SUM(E84:E95)</f>
        <v>19702768</v>
      </c>
      <c r="F96" s="872" t="e">
        <f>SUM(F84:F95)</f>
        <v>#REF!</v>
      </c>
      <c r="G96" s="873" t="e">
        <f>G83-F96</f>
        <v>#REF!</v>
      </c>
      <c r="H96" s="857" t="e">
        <f>#REF!+#REF!+E96</f>
        <v>#REF!</v>
      </c>
    </row>
    <row r="97" spans="3:9" ht="18.75" customHeight="1">
      <c r="F97" s="856"/>
      <c r="H97" s="856"/>
    </row>
    <row r="98" spans="3:9">
      <c r="C98" s="843" t="s">
        <v>1278</v>
      </c>
      <c r="D98" s="844">
        <v>3</v>
      </c>
      <c r="E98" s="844" t="s">
        <v>1895</v>
      </c>
      <c r="F98" s="845" t="s">
        <v>1896</v>
      </c>
      <c r="G98" s="844" t="s">
        <v>1897</v>
      </c>
      <c r="H98" s="845" t="s">
        <v>287</v>
      </c>
    </row>
    <row r="99" spans="3:9">
      <c r="C99" s="838"/>
      <c r="D99" s="838">
        <v>119400000</v>
      </c>
      <c r="E99" s="851">
        <v>0.105</v>
      </c>
      <c r="F99" s="852" t="s">
        <v>1894</v>
      </c>
      <c r="G99" s="839" t="e">
        <f>#REF!+#REF!+D99</f>
        <v>#REF!</v>
      </c>
      <c r="H99" s="853" t="s">
        <v>1895</v>
      </c>
    </row>
    <row r="100" spans="3:9">
      <c r="C100" s="838">
        <v>11900000</v>
      </c>
      <c r="D100" s="847">
        <f t="shared" ref="D100:D111" si="13">D99-C100</f>
        <v>107500000</v>
      </c>
      <c r="E100" s="847">
        <f>ROUND((D99*0.105/365*6)+(D100*0.105/365*24),0)</f>
        <v>948279</v>
      </c>
      <c r="F100" s="856" t="e">
        <f>#REF!+#REF!+C100</f>
        <v>#REF!</v>
      </c>
      <c r="G100" s="839" t="e">
        <f>#REF!+#REF!+D100</f>
        <v>#REF!</v>
      </c>
      <c r="H100" s="857" t="e">
        <f>#REF!+#REF!+E100</f>
        <v>#REF!</v>
      </c>
    </row>
    <row r="101" spans="3:9">
      <c r="C101" s="838">
        <v>11900000</v>
      </c>
      <c r="D101" s="847">
        <f t="shared" si="13"/>
        <v>95600000</v>
      </c>
      <c r="E101" s="847">
        <f>ROUND((D100*0.105/365*6)+(D101*0.105/365*25),0)</f>
        <v>873082</v>
      </c>
      <c r="F101" s="856" t="e">
        <f>#REF!+#REF!+C101</f>
        <v>#REF!</v>
      </c>
      <c r="G101" s="839" t="e">
        <f>#REF!+#REF!+D101</f>
        <v>#REF!</v>
      </c>
      <c r="H101" s="857" t="e">
        <f>#REF!+#REF!+E101</f>
        <v>#REF!</v>
      </c>
    </row>
    <row r="102" spans="3:9">
      <c r="C102" s="838">
        <v>11900000</v>
      </c>
      <c r="D102" s="847">
        <f t="shared" si="13"/>
        <v>83700000</v>
      </c>
      <c r="E102" s="847">
        <f>ROUND((D101*0.105/365*6)+(D102*0.105/365*24),0)</f>
        <v>742882</v>
      </c>
      <c r="F102" s="856" t="e">
        <f>#REF!+#REF!+C102</f>
        <v>#REF!</v>
      </c>
      <c r="G102" s="839" t="e">
        <f>#REF!+#REF!+D102</f>
        <v>#REF!</v>
      </c>
      <c r="H102" s="857" t="e">
        <f>#REF!+#REF!+E102</f>
        <v>#REF!</v>
      </c>
    </row>
    <row r="103" spans="3:9">
      <c r="C103" s="838">
        <v>11900000</v>
      </c>
      <c r="D103" s="847">
        <f t="shared" si="13"/>
        <v>71800000</v>
      </c>
      <c r="E103" s="847">
        <f>ROUND((D102*0.105/365*6)+(D103*0.105/365*25),0)</f>
        <v>660838</v>
      </c>
      <c r="F103" s="856" t="e">
        <f>#REF!+#REF!+C103</f>
        <v>#REF!</v>
      </c>
      <c r="G103" s="839" t="e">
        <f>#REF!+#REF!+D103</f>
        <v>#REF!</v>
      </c>
      <c r="H103" s="857" t="e">
        <f>#REF!+#REF!+E103</f>
        <v>#REF!</v>
      </c>
    </row>
    <row r="104" spans="3:9">
      <c r="C104" s="838">
        <v>11900000</v>
      </c>
      <c r="D104" s="847">
        <f t="shared" si="13"/>
        <v>59900000</v>
      </c>
      <c r="E104" s="847">
        <f>ROUND((D103*0.105/365*6)+(D104*0.105/365*25),0)</f>
        <v>554716</v>
      </c>
      <c r="F104" s="856" t="e">
        <f>#REF!+#REF!+C104</f>
        <v>#REF!</v>
      </c>
      <c r="G104" s="839" t="e">
        <f>#REF!+#REF!+D104</f>
        <v>#REF!</v>
      </c>
      <c r="H104" s="857" t="e">
        <f>#REF!+#REF!+E104</f>
        <v>#REF!</v>
      </c>
    </row>
    <row r="105" spans="3:9">
      <c r="C105" s="838">
        <v>11900000</v>
      </c>
      <c r="D105" s="847">
        <f t="shared" si="13"/>
        <v>48000000</v>
      </c>
      <c r="E105" s="847">
        <f>ROUND((D104*0.105/365*6)+(D105*0.105/365*24),0)</f>
        <v>434786</v>
      </c>
      <c r="F105" s="856" t="e">
        <f>#REF!+#REF!+C105</f>
        <v>#REF!</v>
      </c>
      <c r="G105" s="839" t="e">
        <f>#REF!+#REF!+D105</f>
        <v>#REF!</v>
      </c>
      <c r="H105" s="857" t="e">
        <f>#REF!+#REF!+E105</f>
        <v>#REF!</v>
      </c>
    </row>
    <row r="106" spans="3:9">
      <c r="C106" s="838">
        <v>11900000</v>
      </c>
      <c r="D106" s="847">
        <f t="shared" si="13"/>
        <v>36100000</v>
      </c>
      <c r="E106" s="847">
        <f>ROUND((D105*0.105/365*6)+(D106*0.105/365*25),0)</f>
        <v>342473</v>
      </c>
      <c r="F106" s="856" t="e">
        <f>#REF!+#REF!+C106</f>
        <v>#REF!</v>
      </c>
      <c r="G106" s="839" t="e">
        <f>#REF!+#REF!+D106</f>
        <v>#REF!</v>
      </c>
      <c r="H106" s="857" t="e">
        <f>#REF!+#REF!+E106</f>
        <v>#REF!</v>
      </c>
    </row>
    <row r="107" spans="3:9">
      <c r="C107" s="838">
        <v>11900000</v>
      </c>
      <c r="D107" s="847">
        <f t="shared" si="13"/>
        <v>24200000</v>
      </c>
      <c r="E107" s="847">
        <f>ROUND((D106*0.105/365*6)+(D107*0.105/365*24),0)</f>
        <v>229389</v>
      </c>
      <c r="F107" s="856" t="e">
        <f>#REF!+#REF!+C107</f>
        <v>#REF!</v>
      </c>
      <c r="G107" s="839" t="e">
        <f>#REF!+#REF!+D107</f>
        <v>#REF!</v>
      </c>
      <c r="H107" s="857" t="e">
        <f>#REF!+#REF!+E107</f>
        <v>#REF!</v>
      </c>
    </row>
    <row r="108" spans="3:9">
      <c r="C108" s="838">
        <v>11900000</v>
      </c>
      <c r="D108" s="847">
        <f t="shared" si="13"/>
        <v>12300000</v>
      </c>
      <c r="E108" s="847">
        <f>ROUND((D107*0.105/365*6)+(D108*0.105/365*25),0)</f>
        <v>130229</v>
      </c>
      <c r="F108" s="856" t="e">
        <f>#REF!+#REF!+C108</f>
        <v>#REF!</v>
      </c>
      <c r="G108" s="839" t="e">
        <f>#REF!+#REF!+D108</f>
        <v>#REF!</v>
      </c>
      <c r="H108" s="857" t="e">
        <f>#REF!+#REF!+E108</f>
        <v>#REF!</v>
      </c>
    </row>
    <row r="109" spans="3:9">
      <c r="C109" s="838">
        <v>12300000</v>
      </c>
      <c r="D109" s="847">
        <f t="shared" si="13"/>
        <v>0</v>
      </c>
      <c r="E109" s="847">
        <f>ROUND((D108*0.105/366*6)+(D109*0.105/366*25),0)</f>
        <v>21172</v>
      </c>
      <c r="F109" s="856" t="e">
        <f>#REF!+#REF!+C109</f>
        <v>#REF!</v>
      </c>
      <c r="G109" s="839" t="e">
        <f>#REF!+#REF!+D109</f>
        <v>#REF!</v>
      </c>
      <c r="H109" s="857" t="e">
        <f>#REF!+#REF!+E109</f>
        <v>#REF!</v>
      </c>
    </row>
    <row r="110" spans="3:9" s="892" customFormat="1" ht="12.75" customHeight="1">
      <c r="C110" s="881">
        <v>0</v>
      </c>
      <c r="D110" s="878">
        <f t="shared" si="13"/>
        <v>0</v>
      </c>
      <c r="E110" s="879">
        <f>ROUND((D109*0.105/366*6)+(D110*0.105/366*23),0)</f>
        <v>0</v>
      </c>
      <c r="F110" s="889" t="e">
        <f>#REF!+#REF!+C110</f>
        <v>#REF!</v>
      </c>
      <c r="G110" s="882" t="e">
        <f>#REF!+#REF!+D110</f>
        <v>#REF!</v>
      </c>
      <c r="H110" s="890" t="e">
        <f>#REF!+#REF!+E110</f>
        <v>#REF!</v>
      </c>
      <c r="I110" s="891"/>
    </row>
    <row r="111" spans="3:9" s="892" customFormat="1" ht="11.25" customHeight="1">
      <c r="C111" s="881">
        <v>0</v>
      </c>
      <c r="D111" s="879">
        <f t="shared" si="13"/>
        <v>0</v>
      </c>
      <c r="E111" s="879">
        <f>ROUND((D110*0.105/366*6)+(D111*0.105/366*25),0)</f>
        <v>0</v>
      </c>
      <c r="F111" s="889" t="e">
        <f>#REF!+#REF!+C111</f>
        <v>#REF!</v>
      </c>
      <c r="G111" s="882" t="e">
        <f>#REF!+#REF!+D111</f>
        <v>#REF!</v>
      </c>
      <c r="H111" s="890" t="e">
        <f>#REF!+#REF!+E111</f>
        <v>#REF!</v>
      </c>
      <c r="I111" s="891"/>
    </row>
    <row r="112" spans="3:9">
      <c r="C112" s="866">
        <f>SUM(C100:C111)</f>
        <v>119400000</v>
      </c>
      <c r="D112" s="866"/>
      <c r="E112" s="866">
        <f>SUM(E100:E111)</f>
        <v>4937846</v>
      </c>
      <c r="F112" s="872" t="e">
        <f>SUM(F100:F111)</f>
        <v>#REF!</v>
      </c>
      <c r="G112" s="873" t="e">
        <f>G99-F112</f>
        <v>#REF!</v>
      </c>
      <c r="H112" s="893" t="e">
        <f>#REF!+#REF!+E112</f>
        <v>#REF!</v>
      </c>
    </row>
    <row r="113" spans="5:7">
      <c r="F113" s="894"/>
    </row>
    <row r="114" spans="5:7" ht="15">
      <c r="E114" s="868" t="s">
        <v>1927</v>
      </c>
      <c r="F114" s="2680" t="e">
        <f>F16+F32+F48+F64+F80+F96+F112</f>
        <v>#REF!</v>
      </c>
      <c r="G114" s="2680"/>
    </row>
  </sheetData>
  <mergeCells count="1">
    <mergeCell ref="F114:G114"/>
  </mergeCells>
  <printOptions gridLines="1"/>
  <pageMargins left="0.20866141699999999" right="0.20866141699999999" top="1.2480314960000001" bottom="1.2480314960000001" header="0.31496062992126" footer="0.31496062992126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O114"/>
  <sheetViews>
    <sheetView workbookViewId="0">
      <selection activeCell="C15" sqref="C15"/>
    </sheetView>
  </sheetViews>
  <sheetFormatPr defaultRowHeight="12.75"/>
  <cols>
    <col min="1" max="1" width="15.28515625" style="837" customWidth="1"/>
    <col min="2" max="2" width="5.85546875" style="892" customWidth="1"/>
    <col min="3" max="3" width="9.5703125" style="837" customWidth="1"/>
    <col min="4" max="4" width="10.7109375" style="837" customWidth="1"/>
    <col min="5" max="5" width="8.7109375" style="837" customWidth="1"/>
    <col min="6" max="6" width="6.140625" style="892" bestFit="1" customWidth="1"/>
    <col min="7" max="7" width="9" style="876" bestFit="1" customWidth="1"/>
    <col min="8" max="8" width="10.85546875" style="837" customWidth="1"/>
    <col min="9" max="9" width="8.85546875" style="840" customWidth="1"/>
    <col min="10" max="10" width="6.140625" style="892" bestFit="1" customWidth="1"/>
    <col min="11" max="11" width="8.85546875" style="837" customWidth="1"/>
    <col min="12" max="12" width="10.5703125" style="837" customWidth="1"/>
    <col min="13" max="16384" width="9.140625" style="837"/>
  </cols>
  <sheetData>
    <row r="1" spans="2:15">
      <c r="B1" s="868" t="s">
        <v>1929</v>
      </c>
      <c r="C1" s="838"/>
      <c r="D1" s="838"/>
      <c r="E1" s="838"/>
      <c r="F1" s="881"/>
      <c r="G1" s="839"/>
      <c r="H1" s="838"/>
    </row>
    <row r="2" spans="2:15">
      <c r="B2" s="907"/>
      <c r="C2" s="896" t="s">
        <v>1278</v>
      </c>
      <c r="D2" s="897">
        <v>3</v>
      </c>
      <c r="E2" s="898" t="s">
        <v>1895</v>
      </c>
      <c r="F2" s="907"/>
      <c r="G2" s="908" t="s">
        <v>1278</v>
      </c>
      <c r="H2" s="897">
        <v>3</v>
      </c>
      <c r="I2" s="898" t="s">
        <v>1895</v>
      </c>
      <c r="J2" s="907"/>
      <c r="K2" s="896" t="s">
        <v>1278</v>
      </c>
      <c r="L2" s="897">
        <v>3</v>
      </c>
      <c r="M2" s="898" t="s">
        <v>1895</v>
      </c>
      <c r="N2" s="846"/>
    </row>
    <row r="3" spans="2:15">
      <c r="B3" s="909" t="s">
        <v>1898</v>
      </c>
      <c r="C3" s="838"/>
      <c r="D3" s="838">
        <v>343871090</v>
      </c>
      <c r="E3" s="900">
        <v>9.2499999999999999E-2</v>
      </c>
      <c r="F3" s="909" t="s">
        <v>1898</v>
      </c>
      <c r="G3" s="838"/>
      <c r="H3" s="838">
        <f>D15</f>
        <v>253355898</v>
      </c>
      <c r="I3" s="900">
        <v>9.2499999999999999E-2</v>
      </c>
      <c r="J3" s="909" t="s">
        <v>1898</v>
      </c>
      <c r="K3" s="838"/>
      <c r="L3" s="838">
        <f>H15</f>
        <v>214493794</v>
      </c>
      <c r="M3" s="900">
        <v>9.2499999999999999E-2</v>
      </c>
      <c r="O3" s="837">
        <f>D3/10^7</f>
        <v>34.387109000000002</v>
      </c>
    </row>
    <row r="4" spans="2:15">
      <c r="B4" s="910">
        <v>40644</v>
      </c>
      <c r="C4" s="838"/>
      <c r="D4" s="847">
        <f t="shared" ref="D4:D15" si="0">D3-C4</f>
        <v>343871090</v>
      </c>
      <c r="E4" s="902"/>
      <c r="F4" s="911">
        <v>41011</v>
      </c>
      <c r="G4" s="838"/>
      <c r="H4" s="847">
        <f t="shared" ref="H4:H15" si="1">H3-G4</f>
        <v>253355898</v>
      </c>
      <c r="I4" s="902"/>
      <c r="J4" s="911">
        <v>41377</v>
      </c>
      <c r="K4" s="838"/>
      <c r="L4" s="847">
        <f t="shared" ref="L4:L15" si="2">L3-K4</f>
        <v>214493794</v>
      </c>
      <c r="M4" s="902"/>
    </row>
    <row r="5" spans="2:15">
      <c r="B5" s="910">
        <v>40674</v>
      </c>
      <c r="C5" s="838"/>
      <c r="D5" s="847">
        <f t="shared" si="0"/>
        <v>343871090</v>
      </c>
      <c r="E5" s="902"/>
      <c r="F5" s="911">
        <v>41041</v>
      </c>
      <c r="G5" s="838"/>
      <c r="H5" s="847">
        <f t="shared" si="1"/>
        <v>253355898</v>
      </c>
      <c r="I5" s="902"/>
      <c r="J5" s="911">
        <v>41409</v>
      </c>
      <c r="K5" s="838"/>
      <c r="L5" s="847">
        <f t="shared" si="2"/>
        <v>214493794</v>
      </c>
      <c r="M5" s="902"/>
    </row>
    <row r="6" spans="2:15" s="864" customFormat="1">
      <c r="B6" s="910">
        <v>40705</v>
      </c>
      <c r="C6" s="838">
        <v>26887445</v>
      </c>
      <c r="D6" s="847">
        <f t="shared" si="0"/>
        <v>316983645</v>
      </c>
      <c r="E6" s="902">
        <v>9668914</v>
      </c>
      <c r="F6" s="911">
        <v>41072</v>
      </c>
      <c r="G6" s="838">
        <v>9715526</v>
      </c>
      <c r="H6" s="847">
        <f t="shared" si="1"/>
        <v>243640372</v>
      </c>
      <c r="I6" s="902">
        <f>ROUND((H5*0.1125/365*91),0)</f>
        <v>7106112</v>
      </c>
      <c r="J6" s="911">
        <v>41441</v>
      </c>
      <c r="K6" s="838">
        <v>9715526</v>
      </c>
      <c r="L6" s="847">
        <f t="shared" si="2"/>
        <v>204778268</v>
      </c>
      <c r="M6" s="902">
        <f>ROUND((L5*0.1125/365*91),0)</f>
        <v>6016110</v>
      </c>
      <c r="N6" s="837"/>
      <c r="O6" s="837"/>
    </row>
    <row r="7" spans="2:15" s="868" customFormat="1">
      <c r="B7" s="910">
        <v>40735</v>
      </c>
      <c r="C7" s="838"/>
      <c r="D7" s="847">
        <f t="shared" si="0"/>
        <v>316983645</v>
      </c>
      <c r="E7" s="902"/>
      <c r="F7" s="911">
        <v>41102</v>
      </c>
      <c r="G7" s="838"/>
      <c r="H7" s="847">
        <f t="shared" si="1"/>
        <v>243640372</v>
      </c>
      <c r="I7" s="902"/>
      <c r="J7" s="911">
        <v>41473</v>
      </c>
      <c r="K7" s="838"/>
      <c r="L7" s="847">
        <f t="shared" si="2"/>
        <v>204778268</v>
      </c>
      <c r="M7" s="902"/>
      <c r="N7" s="837"/>
      <c r="O7" s="837"/>
    </row>
    <row r="8" spans="2:15" s="868" customFormat="1">
      <c r="B8" s="910">
        <v>40766</v>
      </c>
      <c r="C8" s="838"/>
      <c r="D8" s="847">
        <f t="shared" si="0"/>
        <v>316983645</v>
      </c>
      <c r="E8" s="902"/>
      <c r="F8" s="911">
        <v>41133</v>
      </c>
      <c r="G8" s="838"/>
      <c r="H8" s="847">
        <f t="shared" si="1"/>
        <v>243640372</v>
      </c>
      <c r="I8" s="902"/>
      <c r="J8" s="911">
        <v>41505</v>
      </c>
      <c r="K8" s="838"/>
      <c r="L8" s="847">
        <f t="shared" si="2"/>
        <v>204778268</v>
      </c>
      <c r="M8" s="902"/>
      <c r="N8" s="837"/>
      <c r="O8" s="837"/>
    </row>
    <row r="9" spans="2:15" s="864" customFormat="1">
      <c r="B9" s="910">
        <v>40797</v>
      </c>
      <c r="C9" s="838">
        <v>26887445</v>
      </c>
      <c r="D9" s="847">
        <f t="shared" si="0"/>
        <v>290096200</v>
      </c>
      <c r="E9" s="902">
        <v>9106189</v>
      </c>
      <c r="F9" s="911">
        <v>41164</v>
      </c>
      <c r="G9" s="838">
        <v>9715526</v>
      </c>
      <c r="H9" s="847">
        <f t="shared" si="1"/>
        <v>233924846</v>
      </c>
      <c r="I9" s="902">
        <f t="shared" ref="I9:I15" si="3">ROUND((H8*0.1125/365*91),0)</f>
        <v>6833612</v>
      </c>
      <c r="J9" s="911">
        <v>41537</v>
      </c>
      <c r="K9" s="838">
        <v>9715526</v>
      </c>
      <c r="L9" s="847">
        <f t="shared" si="2"/>
        <v>195062742</v>
      </c>
      <c r="M9" s="902">
        <f>ROUND((L8*0.1125/365*91),0)</f>
        <v>5743610</v>
      </c>
      <c r="N9" s="837"/>
      <c r="O9" s="837"/>
    </row>
    <row r="10" spans="2:15" s="868" customFormat="1">
      <c r="B10" s="910">
        <v>40827</v>
      </c>
      <c r="C10" s="838"/>
      <c r="D10" s="847">
        <f t="shared" si="0"/>
        <v>290096200</v>
      </c>
      <c r="E10" s="902"/>
      <c r="F10" s="911">
        <v>41194</v>
      </c>
      <c r="G10" s="838"/>
      <c r="H10" s="847">
        <f t="shared" si="1"/>
        <v>233924846</v>
      </c>
      <c r="I10" s="902"/>
      <c r="J10" s="911">
        <v>41569</v>
      </c>
      <c r="K10" s="838"/>
      <c r="L10" s="847">
        <f t="shared" si="2"/>
        <v>195062742</v>
      </c>
      <c r="M10" s="902"/>
      <c r="N10" s="837"/>
      <c r="O10" s="837"/>
    </row>
    <row r="11" spans="2:15" s="864" customFormat="1">
      <c r="B11" s="910">
        <v>40858</v>
      </c>
      <c r="C11" s="838"/>
      <c r="D11" s="847">
        <f t="shared" si="0"/>
        <v>290096200</v>
      </c>
      <c r="E11" s="902"/>
      <c r="F11" s="911">
        <v>41225</v>
      </c>
      <c r="G11" s="838"/>
      <c r="H11" s="847">
        <f t="shared" si="1"/>
        <v>233924846</v>
      </c>
      <c r="I11" s="902"/>
      <c r="J11" s="911">
        <v>41601</v>
      </c>
      <c r="K11" s="838"/>
      <c r="L11" s="847">
        <f t="shared" si="2"/>
        <v>195062742</v>
      </c>
      <c r="M11" s="902"/>
      <c r="N11" s="837"/>
      <c r="O11" s="837"/>
    </row>
    <row r="12" spans="2:15" s="868" customFormat="1">
      <c r="B12" s="910">
        <v>40888</v>
      </c>
      <c r="C12" s="838">
        <v>27024776</v>
      </c>
      <c r="D12" s="847">
        <f t="shared" si="0"/>
        <v>263071424</v>
      </c>
      <c r="E12" s="902">
        <f>ROUND((D11*0.1125/365*91),0)</f>
        <v>8136602</v>
      </c>
      <c r="F12" s="911">
        <v>41255</v>
      </c>
      <c r="G12" s="838">
        <v>9715526</v>
      </c>
      <c r="H12" s="847">
        <f t="shared" si="1"/>
        <v>224209320</v>
      </c>
      <c r="I12" s="902">
        <f t="shared" si="3"/>
        <v>6561111</v>
      </c>
      <c r="J12" s="911">
        <v>41633</v>
      </c>
      <c r="K12" s="838">
        <v>9715526</v>
      </c>
      <c r="L12" s="847">
        <f t="shared" si="2"/>
        <v>185347216</v>
      </c>
      <c r="M12" s="902">
        <f>ROUND((L11*0.1125/365*91),0)</f>
        <v>5471109</v>
      </c>
      <c r="N12" s="837"/>
      <c r="O12" s="837"/>
    </row>
    <row r="13" spans="2:15" s="868" customFormat="1">
      <c r="B13" s="910">
        <v>40555</v>
      </c>
      <c r="C13" s="838"/>
      <c r="D13" s="847">
        <f t="shared" si="0"/>
        <v>263071424</v>
      </c>
      <c r="E13" s="902"/>
      <c r="F13" s="911">
        <v>41286</v>
      </c>
      <c r="G13" s="838"/>
      <c r="H13" s="847">
        <f t="shared" si="1"/>
        <v>224209320</v>
      </c>
      <c r="I13" s="902"/>
      <c r="J13" s="911">
        <v>41665</v>
      </c>
      <c r="K13" s="838"/>
      <c r="L13" s="847">
        <f t="shared" si="2"/>
        <v>185347216</v>
      </c>
      <c r="M13" s="902"/>
      <c r="N13" s="837"/>
      <c r="O13" s="837"/>
    </row>
    <row r="14" spans="2:15" s="864" customFormat="1">
      <c r="B14" s="910">
        <v>40586</v>
      </c>
      <c r="C14" s="838"/>
      <c r="D14" s="847">
        <f t="shared" si="0"/>
        <v>263071424</v>
      </c>
      <c r="E14" s="902"/>
      <c r="F14" s="911">
        <v>41317</v>
      </c>
      <c r="G14" s="838"/>
      <c r="H14" s="847">
        <f t="shared" si="1"/>
        <v>224209320</v>
      </c>
      <c r="I14" s="902"/>
      <c r="J14" s="911">
        <v>41697</v>
      </c>
      <c r="K14" s="838"/>
      <c r="L14" s="847">
        <f t="shared" si="2"/>
        <v>185347216</v>
      </c>
      <c r="M14" s="902"/>
      <c r="N14" s="837"/>
      <c r="O14" s="837"/>
    </row>
    <row r="15" spans="2:15">
      <c r="B15" s="910">
        <v>40614</v>
      </c>
      <c r="C15" s="838">
        <v>9715526</v>
      </c>
      <c r="D15" s="847">
        <f t="shared" si="0"/>
        <v>253355898</v>
      </c>
      <c r="E15" s="902">
        <f>ROUND((D14*0.1125/365*91),0)</f>
        <v>7378613</v>
      </c>
      <c r="F15" s="911">
        <v>41345</v>
      </c>
      <c r="G15" s="838">
        <v>9715526</v>
      </c>
      <c r="H15" s="847">
        <f t="shared" si="1"/>
        <v>214493794</v>
      </c>
      <c r="I15" s="902">
        <f t="shared" si="3"/>
        <v>6288611</v>
      </c>
      <c r="J15" s="911">
        <v>41729</v>
      </c>
      <c r="K15" s="838">
        <v>9715526</v>
      </c>
      <c r="L15" s="847">
        <f t="shared" si="2"/>
        <v>175631690</v>
      </c>
      <c r="M15" s="902">
        <f>ROUND((L14*0.1125/365*91),0)</f>
        <v>5198609</v>
      </c>
    </row>
    <row r="16" spans="2:15" s="864" customFormat="1">
      <c r="B16" s="912"/>
      <c r="C16" s="905">
        <f>SUM(C4:C15)</f>
        <v>90515192</v>
      </c>
      <c r="D16" s="905"/>
      <c r="E16" s="906">
        <f>SUM(E4:E15)</f>
        <v>34290318</v>
      </c>
      <c r="F16" s="912"/>
      <c r="G16" s="905">
        <f>SUM(G4:G15)</f>
        <v>38862104</v>
      </c>
      <c r="H16" s="905"/>
      <c r="I16" s="906">
        <f>SUM(I4:I15)</f>
        <v>26789446</v>
      </c>
      <c r="J16" s="912"/>
      <c r="K16" s="905">
        <f>SUM(K4:K15)</f>
        <v>38862104</v>
      </c>
      <c r="L16" s="905"/>
      <c r="M16" s="906">
        <f>SUM(M4:M15)</f>
        <v>22429438</v>
      </c>
    </row>
    <row r="17" spans="2:13" ht="15.75" customHeight="1">
      <c r="C17" s="838"/>
      <c r="D17" s="838"/>
      <c r="E17" s="838"/>
      <c r="F17" s="889"/>
      <c r="G17" s="839"/>
      <c r="H17" s="856"/>
    </row>
    <row r="18" spans="2:13">
      <c r="B18" s="907"/>
      <c r="C18" s="896" t="s">
        <v>1278</v>
      </c>
      <c r="D18" s="897">
        <v>3</v>
      </c>
      <c r="E18" s="898" t="s">
        <v>1895</v>
      </c>
      <c r="F18" s="907"/>
      <c r="G18" s="908" t="s">
        <v>1278</v>
      </c>
      <c r="H18" s="897">
        <v>3</v>
      </c>
      <c r="I18" s="898" t="s">
        <v>1895</v>
      </c>
      <c r="J18" s="907"/>
      <c r="K18" s="896" t="s">
        <v>1278</v>
      </c>
      <c r="L18" s="897">
        <v>3</v>
      </c>
      <c r="M18" s="898" t="s">
        <v>1895</v>
      </c>
    </row>
    <row r="19" spans="2:13">
      <c r="B19" s="909" t="s">
        <v>1898</v>
      </c>
      <c r="C19" s="838"/>
      <c r="D19" s="838">
        <f>L15</f>
        <v>175631690</v>
      </c>
      <c r="E19" s="900">
        <v>9.2499999999999999E-2</v>
      </c>
      <c r="F19" s="909" t="s">
        <v>1898</v>
      </c>
      <c r="G19" s="838"/>
      <c r="H19" s="838">
        <f>D31</f>
        <v>136769586</v>
      </c>
      <c r="I19" s="900">
        <v>9.2499999999999999E-2</v>
      </c>
      <c r="J19" s="909" t="s">
        <v>1898</v>
      </c>
      <c r="K19" s="838"/>
      <c r="L19" s="838">
        <f>H31</f>
        <v>97907482</v>
      </c>
      <c r="M19" s="900">
        <v>9.2499999999999999E-2</v>
      </c>
    </row>
    <row r="20" spans="2:13">
      <c r="B20" s="911">
        <v>41742</v>
      </c>
      <c r="C20" s="838"/>
      <c r="D20" s="847">
        <f t="shared" ref="D20:D31" si="4">D19-C20</f>
        <v>175631690</v>
      </c>
      <c r="E20" s="902"/>
      <c r="F20" s="911">
        <v>42107</v>
      </c>
      <c r="G20" s="838"/>
      <c r="H20" s="847">
        <f t="shared" ref="H20:H31" si="5">H19-G20</f>
        <v>136769586</v>
      </c>
      <c r="I20" s="902"/>
      <c r="J20" s="911">
        <v>42473</v>
      </c>
      <c r="K20" s="838"/>
      <c r="L20" s="847">
        <f t="shared" ref="L20:L31" si="6">L19-K20</f>
        <v>97907482</v>
      </c>
      <c r="M20" s="902"/>
    </row>
    <row r="21" spans="2:13">
      <c r="B21" s="911">
        <v>41774</v>
      </c>
      <c r="C21" s="838"/>
      <c r="D21" s="847">
        <f t="shared" si="4"/>
        <v>175631690</v>
      </c>
      <c r="E21" s="902"/>
      <c r="F21" s="911">
        <v>42139</v>
      </c>
      <c r="G21" s="838"/>
      <c r="H21" s="847">
        <f t="shared" si="5"/>
        <v>136769586</v>
      </c>
      <c r="I21" s="902"/>
      <c r="J21" s="911">
        <v>42505</v>
      </c>
      <c r="K21" s="838"/>
      <c r="L21" s="847">
        <f t="shared" si="6"/>
        <v>97907482</v>
      </c>
      <c r="M21" s="902"/>
    </row>
    <row r="22" spans="2:13">
      <c r="B22" s="911">
        <v>41806</v>
      </c>
      <c r="C22" s="838">
        <v>9715526</v>
      </c>
      <c r="D22" s="847">
        <f t="shared" si="4"/>
        <v>165916164</v>
      </c>
      <c r="E22" s="902">
        <f>ROUND((D21*0.1125/365*91),0)</f>
        <v>4926108</v>
      </c>
      <c r="F22" s="911">
        <v>42171</v>
      </c>
      <c r="G22" s="838">
        <v>9715526</v>
      </c>
      <c r="H22" s="847">
        <f t="shared" si="5"/>
        <v>127054060</v>
      </c>
      <c r="I22" s="902">
        <f>ROUND((H21*0.1125/365*91),0)</f>
        <v>3836106</v>
      </c>
      <c r="J22" s="911">
        <v>42537</v>
      </c>
      <c r="K22" s="838">
        <v>9715526</v>
      </c>
      <c r="L22" s="847">
        <f t="shared" si="6"/>
        <v>88191956</v>
      </c>
      <c r="M22" s="902">
        <f>ROUND((L21*0.1125/365*91),0)</f>
        <v>2746104</v>
      </c>
    </row>
    <row r="23" spans="2:13">
      <c r="B23" s="911">
        <v>41838</v>
      </c>
      <c r="C23" s="838"/>
      <c r="D23" s="847">
        <f t="shared" si="4"/>
        <v>165916164</v>
      </c>
      <c r="E23" s="902"/>
      <c r="F23" s="911">
        <v>42203</v>
      </c>
      <c r="G23" s="838"/>
      <c r="H23" s="847">
        <f t="shared" si="5"/>
        <v>127054060</v>
      </c>
      <c r="I23" s="902"/>
      <c r="J23" s="911">
        <v>42569</v>
      </c>
      <c r="K23" s="838"/>
      <c r="L23" s="847">
        <f t="shared" si="6"/>
        <v>88191956</v>
      </c>
      <c r="M23" s="902"/>
    </row>
    <row r="24" spans="2:13">
      <c r="B24" s="911">
        <v>41870</v>
      </c>
      <c r="C24" s="838"/>
      <c r="D24" s="847">
        <f t="shared" si="4"/>
        <v>165916164</v>
      </c>
      <c r="E24" s="902"/>
      <c r="F24" s="911">
        <v>42235</v>
      </c>
      <c r="G24" s="838"/>
      <c r="H24" s="847">
        <f t="shared" si="5"/>
        <v>127054060</v>
      </c>
      <c r="I24" s="902"/>
      <c r="J24" s="911">
        <v>42601</v>
      </c>
      <c r="K24" s="838"/>
      <c r="L24" s="847">
        <f t="shared" si="6"/>
        <v>88191956</v>
      </c>
      <c r="M24" s="902"/>
    </row>
    <row r="25" spans="2:13">
      <c r="B25" s="911">
        <v>41902</v>
      </c>
      <c r="C25" s="838">
        <v>9715526</v>
      </c>
      <c r="D25" s="847">
        <f t="shared" si="4"/>
        <v>156200638</v>
      </c>
      <c r="E25" s="902">
        <f t="shared" ref="E25:E31" si="7">ROUND((D24*0.1125/365*91),0)</f>
        <v>4653607</v>
      </c>
      <c r="F25" s="911">
        <v>42267</v>
      </c>
      <c r="G25" s="838">
        <v>9715526</v>
      </c>
      <c r="H25" s="847">
        <f t="shared" si="5"/>
        <v>117338534</v>
      </c>
      <c r="I25" s="902">
        <f t="shared" ref="I25:I31" si="8">ROUND((H24*0.1125/365*91),0)</f>
        <v>3563605</v>
      </c>
      <c r="J25" s="911">
        <v>42633</v>
      </c>
      <c r="K25" s="838">
        <v>9715526</v>
      </c>
      <c r="L25" s="847">
        <f t="shared" si="6"/>
        <v>78476430</v>
      </c>
      <c r="M25" s="902">
        <f t="shared" ref="M25:M31" si="9">ROUND((L24*0.1125/365*91),0)</f>
        <v>2473603</v>
      </c>
    </row>
    <row r="26" spans="2:13">
      <c r="B26" s="911">
        <v>41934</v>
      </c>
      <c r="C26" s="838"/>
      <c r="D26" s="847">
        <f t="shared" si="4"/>
        <v>156200638</v>
      </c>
      <c r="E26" s="902"/>
      <c r="F26" s="911">
        <v>42299</v>
      </c>
      <c r="G26" s="838"/>
      <c r="H26" s="847">
        <f t="shared" si="5"/>
        <v>117338534</v>
      </c>
      <c r="I26" s="902"/>
      <c r="J26" s="911">
        <v>42665</v>
      </c>
      <c r="K26" s="838"/>
      <c r="L26" s="847">
        <f t="shared" si="6"/>
        <v>78476430</v>
      </c>
      <c r="M26" s="902"/>
    </row>
    <row r="27" spans="2:13">
      <c r="B27" s="911">
        <v>41966</v>
      </c>
      <c r="C27" s="838"/>
      <c r="D27" s="847">
        <f t="shared" si="4"/>
        <v>156200638</v>
      </c>
      <c r="E27" s="902"/>
      <c r="F27" s="911">
        <v>42331</v>
      </c>
      <c r="G27" s="838"/>
      <c r="H27" s="847">
        <f t="shared" si="5"/>
        <v>117338534</v>
      </c>
      <c r="I27" s="902"/>
      <c r="J27" s="911">
        <v>42697</v>
      </c>
      <c r="K27" s="838"/>
      <c r="L27" s="847">
        <f t="shared" si="6"/>
        <v>78476430</v>
      </c>
      <c r="M27" s="902"/>
    </row>
    <row r="28" spans="2:13">
      <c r="B28" s="911">
        <v>41998</v>
      </c>
      <c r="C28" s="838">
        <v>9715526</v>
      </c>
      <c r="D28" s="847">
        <f t="shared" si="4"/>
        <v>146485112</v>
      </c>
      <c r="E28" s="902">
        <f t="shared" si="7"/>
        <v>4381107</v>
      </c>
      <c r="F28" s="911">
        <v>42363</v>
      </c>
      <c r="G28" s="838">
        <v>9715526</v>
      </c>
      <c r="H28" s="847">
        <f t="shared" si="5"/>
        <v>107623008</v>
      </c>
      <c r="I28" s="902">
        <f t="shared" si="8"/>
        <v>3291105</v>
      </c>
      <c r="J28" s="911">
        <v>42729</v>
      </c>
      <c r="K28" s="838">
        <v>9715526</v>
      </c>
      <c r="L28" s="847">
        <f t="shared" si="6"/>
        <v>68760904</v>
      </c>
      <c r="M28" s="902">
        <f t="shared" si="9"/>
        <v>2201103</v>
      </c>
    </row>
    <row r="29" spans="2:13">
      <c r="B29" s="911">
        <v>42030</v>
      </c>
      <c r="C29" s="838"/>
      <c r="D29" s="847">
        <f t="shared" si="4"/>
        <v>146485112</v>
      </c>
      <c r="E29" s="902"/>
      <c r="F29" s="911">
        <v>42395</v>
      </c>
      <c r="G29" s="838"/>
      <c r="H29" s="847">
        <f t="shared" si="5"/>
        <v>107623008</v>
      </c>
      <c r="I29" s="902"/>
      <c r="J29" s="911">
        <v>42761</v>
      </c>
      <c r="K29" s="838"/>
      <c r="L29" s="847">
        <f t="shared" si="6"/>
        <v>68760904</v>
      </c>
      <c r="M29" s="902"/>
    </row>
    <row r="30" spans="2:13">
      <c r="B30" s="911">
        <v>42062</v>
      </c>
      <c r="C30" s="838"/>
      <c r="D30" s="847">
        <f t="shared" si="4"/>
        <v>146485112</v>
      </c>
      <c r="E30" s="902"/>
      <c r="F30" s="911">
        <v>42427</v>
      </c>
      <c r="G30" s="838"/>
      <c r="H30" s="847">
        <f t="shared" si="5"/>
        <v>107623008</v>
      </c>
      <c r="I30" s="902"/>
      <c r="J30" s="911">
        <v>42793</v>
      </c>
      <c r="K30" s="838"/>
      <c r="L30" s="847">
        <f t="shared" si="6"/>
        <v>68760904</v>
      </c>
      <c r="M30" s="902"/>
    </row>
    <row r="31" spans="2:13">
      <c r="B31" s="911">
        <v>42094</v>
      </c>
      <c r="C31" s="838">
        <v>9715526</v>
      </c>
      <c r="D31" s="847">
        <f t="shared" si="4"/>
        <v>136769586</v>
      </c>
      <c r="E31" s="902">
        <f t="shared" si="7"/>
        <v>4108606</v>
      </c>
      <c r="F31" s="911">
        <v>42459</v>
      </c>
      <c r="G31" s="838">
        <v>9715526</v>
      </c>
      <c r="H31" s="847">
        <f t="shared" si="5"/>
        <v>97907482</v>
      </c>
      <c r="I31" s="902">
        <f t="shared" si="8"/>
        <v>3018604</v>
      </c>
      <c r="J31" s="911">
        <v>42825</v>
      </c>
      <c r="K31" s="838">
        <v>9715526</v>
      </c>
      <c r="L31" s="847">
        <f t="shared" si="6"/>
        <v>59045378</v>
      </c>
      <c r="M31" s="902">
        <f t="shared" si="9"/>
        <v>1928602</v>
      </c>
    </row>
    <row r="32" spans="2:13">
      <c r="B32" s="912"/>
      <c r="C32" s="905">
        <f>SUM(C20:C31)</f>
        <v>38862104</v>
      </c>
      <c r="D32" s="905"/>
      <c r="E32" s="906">
        <f>SUM(E20:E31)</f>
        <v>18069428</v>
      </c>
      <c r="F32" s="912"/>
      <c r="G32" s="905">
        <f>SUM(G20:G31)</f>
        <v>38862104</v>
      </c>
      <c r="H32" s="905"/>
      <c r="I32" s="906">
        <f>SUM(I20:I31)</f>
        <v>13709420</v>
      </c>
      <c r="J32" s="912"/>
      <c r="K32" s="905">
        <f>SUM(K20:K31)</f>
        <v>38862104</v>
      </c>
      <c r="L32" s="905"/>
      <c r="M32" s="906">
        <f>SUM(M20:M31)</f>
        <v>9349412</v>
      </c>
    </row>
    <row r="33" spans="2:9" ht="17.25" customHeight="1">
      <c r="C33" s="866"/>
      <c r="D33" s="875"/>
      <c r="E33" s="875"/>
      <c r="F33" s="889"/>
      <c r="H33" s="856"/>
    </row>
    <row r="34" spans="2:9">
      <c r="B34" s="907"/>
      <c r="C34" s="896" t="s">
        <v>1278</v>
      </c>
      <c r="D34" s="897">
        <v>3</v>
      </c>
      <c r="E34" s="898" t="s">
        <v>1895</v>
      </c>
      <c r="F34" s="907"/>
      <c r="G34" s="908" t="s">
        <v>1278</v>
      </c>
      <c r="H34" s="897">
        <v>3</v>
      </c>
      <c r="I34" s="898" t="s">
        <v>1895</v>
      </c>
    </row>
    <row r="35" spans="2:9">
      <c r="B35" s="909" t="s">
        <v>1898</v>
      </c>
      <c r="C35" s="838"/>
      <c r="D35" s="838">
        <f>L31</f>
        <v>59045378</v>
      </c>
      <c r="E35" s="900">
        <v>9.2499999999999999E-2</v>
      </c>
      <c r="F35" s="909" t="s">
        <v>1898</v>
      </c>
      <c r="G35" s="838"/>
      <c r="H35" s="838">
        <f>D47</f>
        <v>23919032</v>
      </c>
      <c r="I35" s="900">
        <v>9.2499999999999999E-2</v>
      </c>
    </row>
    <row r="36" spans="2:9">
      <c r="B36" s="911">
        <v>42838</v>
      </c>
      <c r="C36" s="838"/>
      <c r="D36" s="847">
        <f t="shared" ref="D36:D47" si="10">D35-C36</f>
        <v>59045378</v>
      </c>
      <c r="E36" s="902"/>
      <c r="F36" s="911">
        <v>43203</v>
      </c>
      <c r="G36" s="838"/>
      <c r="H36" s="847">
        <f t="shared" ref="H36:H47" si="11">H35-G36</f>
        <v>23919032</v>
      </c>
      <c r="I36" s="902"/>
    </row>
    <row r="37" spans="2:9">
      <c r="B37" s="911">
        <v>42870</v>
      </c>
      <c r="C37" s="838"/>
      <c r="D37" s="847">
        <f t="shared" si="10"/>
        <v>59045378</v>
      </c>
      <c r="E37" s="902"/>
      <c r="F37" s="911">
        <v>43235</v>
      </c>
      <c r="G37" s="838"/>
      <c r="H37" s="847">
        <f t="shared" si="11"/>
        <v>23919032</v>
      </c>
      <c r="I37" s="902"/>
    </row>
    <row r="38" spans="2:9">
      <c r="B38" s="911">
        <v>42902</v>
      </c>
      <c r="C38" s="838">
        <v>9715526</v>
      </c>
      <c r="D38" s="847">
        <f t="shared" si="10"/>
        <v>49329852</v>
      </c>
      <c r="E38" s="902">
        <f>ROUND((D37*0.1125/365*91),0)</f>
        <v>1656102</v>
      </c>
      <c r="F38" s="911">
        <v>43267</v>
      </c>
      <c r="G38" s="838">
        <v>5979768</v>
      </c>
      <c r="H38" s="847">
        <f t="shared" si="11"/>
        <v>17939264</v>
      </c>
      <c r="I38" s="902">
        <f>ROUND((H37*0.1125/365*91),0)</f>
        <v>670880</v>
      </c>
    </row>
    <row r="39" spans="2:9">
      <c r="B39" s="911">
        <v>42934</v>
      </c>
      <c r="C39" s="838"/>
      <c r="D39" s="847">
        <f t="shared" si="10"/>
        <v>49329852</v>
      </c>
      <c r="E39" s="902"/>
      <c r="F39" s="911">
        <v>43299</v>
      </c>
      <c r="G39" s="838"/>
      <c r="H39" s="847">
        <f t="shared" si="11"/>
        <v>17939264</v>
      </c>
      <c r="I39" s="902"/>
    </row>
    <row r="40" spans="2:9">
      <c r="B40" s="911">
        <v>42966</v>
      </c>
      <c r="C40" s="838"/>
      <c r="D40" s="847">
        <f t="shared" si="10"/>
        <v>49329852</v>
      </c>
      <c r="E40" s="902"/>
      <c r="F40" s="911">
        <v>43331</v>
      </c>
      <c r="G40" s="838"/>
      <c r="H40" s="847">
        <f t="shared" si="11"/>
        <v>17939264</v>
      </c>
      <c r="I40" s="902"/>
    </row>
    <row r="41" spans="2:9">
      <c r="B41" s="911">
        <v>42998</v>
      </c>
      <c r="C41" s="838">
        <v>9715526</v>
      </c>
      <c r="D41" s="847">
        <f t="shared" si="10"/>
        <v>39614326</v>
      </c>
      <c r="E41" s="902">
        <f t="shared" ref="E41:E47" si="12">ROUND((D40*0.1125/365*91),0)</f>
        <v>1383601</v>
      </c>
      <c r="F41" s="911">
        <v>43363</v>
      </c>
      <c r="G41" s="838">
        <v>5979768</v>
      </c>
      <c r="H41" s="847">
        <f t="shared" si="11"/>
        <v>11959496</v>
      </c>
      <c r="I41" s="902">
        <f t="shared" ref="I41:I47" si="13">ROUND((H40*0.1125/365*91),0)</f>
        <v>503159</v>
      </c>
    </row>
    <row r="42" spans="2:9">
      <c r="B42" s="911">
        <v>43030</v>
      </c>
      <c r="C42" s="838"/>
      <c r="D42" s="847">
        <f t="shared" si="10"/>
        <v>39614326</v>
      </c>
      <c r="E42" s="902"/>
      <c r="F42" s="911">
        <v>43395</v>
      </c>
      <c r="G42" s="838"/>
      <c r="H42" s="847">
        <f t="shared" si="11"/>
        <v>11959496</v>
      </c>
      <c r="I42" s="902"/>
    </row>
    <row r="43" spans="2:9">
      <c r="B43" s="911">
        <v>43062</v>
      </c>
      <c r="C43" s="838"/>
      <c r="D43" s="847">
        <f t="shared" si="10"/>
        <v>39614326</v>
      </c>
      <c r="E43" s="902"/>
      <c r="F43" s="911">
        <v>43427</v>
      </c>
      <c r="G43" s="838"/>
      <c r="H43" s="847">
        <f t="shared" si="11"/>
        <v>11959496</v>
      </c>
      <c r="I43" s="902"/>
    </row>
    <row r="44" spans="2:9">
      <c r="B44" s="911">
        <v>43094</v>
      </c>
      <c r="C44" s="838">
        <v>9715526</v>
      </c>
      <c r="D44" s="847">
        <f t="shared" si="10"/>
        <v>29898800</v>
      </c>
      <c r="E44" s="902">
        <f t="shared" si="12"/>
        <v>1111100</v>
      </c>
      <c r="F44" s="911">
        <v>43459</v>
      </c>
      <c r="G44" s="838">
        <v>5979768</v>
      </c>
      <c r="H44" s="847">
        <f t="shared" si="11"/>
        <v>5979728</v>
      </c>
      <c r="I44" s="902">
        <f t="shared" si="13"/>
        <v>335439</v>
      </c>
    </row>
    <row r="45" spans="2:9">
      <c r="B45" s="911">
        <v>43126</v>
      </c>
      <c r="C45" s="838"/>
      <c r="D45" s="847">
        <f t="shared" si="10"/>
        <v>29898800</v>
      </c>
      <c r="E45" s="902"/>
      <c r="F45" s="911">
        <v>43491</v>
      </c>
      <c r="G45" s="838"/>
      <c r="H45" s="847">
        <f t="shared" si="11"/>
        <v>5979728</v>
      </c>
      <c r="I45" s="902"/>
    </row>
    <row r="46" spans="2:9">
      <c r="B46" s="911">
        <v>43158</v>
      </c>
      <c r="C46" s="838"/>
      <c r="D46" s="847">
        <f t="shared" si="10"/>
        <v>29898800</v>
      </c>
      <c r="E46" s="902"/>
      <c r="F46" s="911">
        <v>43523</v>
      </c>
      <c r="G46" s="838"/>
      <c r="H46" s="847">
        <f t="shared" si="11"/>
        <v>5979728</v>
      </c>
      <c r="I46" s="902"/>
    </row>
    <row r="47" spans="2:9">
      <c r="B47" s="911">
        <v>42825</v>
      </c>
      <c r="C47" s="838">
        <v>5979768</v>
      </c>
      <c r="D47" s="847">
        <f t="shared" si="10"/>
        <v>23919032</v>
      </c>
      <c r="E47" s="902">
        <f t="shared" si="12"/>
        <v>838600</v>
      </c>
      <c r="F47" s="911">
        <v>43555</v>
      </c>
      <c r="G47" s="838">
        <v>5979728</v>
      </c>
      <c r="H47" s="847">
        <f t="shared" si="11"/>
        <v>0</v>
      </c>
      <c r="I47" s="902">
        <f t="shared" si="13"/>
        <v>167719</v>
      </c>
    </row>
    <row r="48" spans="2:9">
      <c r="B48" s="912"/>
      <c r="C48" s="905">
        <f>SUM(C36:C47)</f>
        <v>35126346</v>
      </c>
      <c r="D48" s="905"/>
      <c r="E48" s="906">
        <f>SUM(E36:E47)</f>
        <v>4989403</v>
      </c>
      <c r="F48" s="912"/>
      <c r="G48" s="905">
        <f>SUM(G36:G47)</f>
        <v>23919032</v>
      </c>
      <c r="H48" s="905"/>
      <c r="I48" s="906">
        <f>SUM(I36:I47)</f>
        <v>1677197</v>
      </c>
    </row>
    <row r="49" spans="3:8" ht="21" customHeight="1">
      <c r="F49" s="889"/>
      <c r="H49" s="856"/>
    </row>
    <row r="50" spans="3:8">
      <c r="C50" s="843"/>
      <c r="D50" s="844"/>
      <c r="E50" s="844"/>
      <c r="F50" s="913"/>
      <c r="G50" s="844"/>
      <c r="H50" s="845"/>
    </row>
    <row r="51" spans="3:8">
      <c r="C51" s="838"/>
      <c r="D51" s="838"/>
      <c r="E51" s="851"/>
      <c r="F51" s="914"/>
      <c r="G51" s="839"/>
      <c r="H51" s="853"/>
    </row>
    <row r="52" spans="3:8">
      <c r="C52" s="838"/>
      <c r="D52" s="847"/>
      <c r="E52" s="847"/>
      <c r="F52" s="889"/>
      <c r="G52" s="839"/>
      <c r="H52" s="857"/>
    </row>
    <row r="53" spans="3:8">
      <c r="C53" s="838"/>
      <c r="D53" s="847"/>
      <c r="E53" s="847"/>
      <c r="F53" s="889"/>
      <c r="G53" s="839"/>
      <c r="H53" s="857"/>
    </row>
    <row r="54" spans="3:8">
      <c r="C54" s="838"/>
      <c r="D54" s="847"/>
      <c r="E54" s="847"/>
      <c r="F54" s="889"/>
      <c r="G54" s="839"/>
      <c r="H54" s="857"/>
    </row>
    <row r="55" spans="3:8">
      <c r="C55" s="838"/>
      <c r="D55" s="847"/>
      <c r="E55" s="847"/>
      <c r="F55" s="889"/>
      <c r="G55" s="839"/>
      <c r="H55" s="857"/>
    </row>
    <row r="56" spans="3:8">
      <c r="C56" s="838"/>
      <c r="D56" s="847"/>
      <c r="E56" s="847"/>
      <c r="F56" s="889"/>
      <c r="G56" s="839"/>
      <c r="H56" s="857"/>
    </row>
    <row r="57" spans="3:8">
      <c r="C57" s="838"/>
      <c r="D57" s="847"/>
      <c r="E57" s="847"/>
      <c r="F57" s="889"/>
      <c r="G57" s="839"/>
      <c r="H57" s="857"/>
    </row>
    <row r="58" spans="3:8">
      <c r="C58" s="838"/>
      <c r="D58" s="847"/>
      <c r="E58" s="847"/>
      <c r="F58" s="889"/>
      <c r="G58" s="839"/>
      <c r="H58" s="857"/>
    </row>
    <row r="59" spans="3:8">
      <c r="C59" s="838"/>
      <c r="D59" s="847"/>
      <c r="E59" s="847"/>
      <c r="F59" s="889"/>
      <c r="G59" s="839"/>
      <c r="H59" s="857"/>
    </row>
    <row r="60" spans="3:8">
      <c r="C60" s="838"/>
      <c r="D60" s="847"/>
      <c r="E60" s="847"/>
      <c r="F60" s="889"/>
      <c r="G60" s="839"/>
      <c r="H60" s="857"/>
    </row>
    <row r="61" spans="3:8">
      <c r="C61" s="838"/>
      <c r="D61" s="847"/>
      <c r="E61" s="847"/>
      <c r="F61" s="889"/>
      <c r="G61" s="839"/>
      <c r="H61" s="857"/>
    </row>
    <row r="62" spans="3:8">
      <c r="C62" s="838"/>
      <c r="D62" s="847"/>
      <c r="E62" s="847"/>
      <c r="F62" s="889"/>
      <c r="G62" s="839"/>
      <c r="H62" s="857"/>
    </row>
    <row r="63" spans="3:8">
      <c r="C63" s="838"/>
      <c r="D63" s="847"/>
      <c r="E63" s="847"/>
      <c r="F63" s="889"/>
      <c r="G63" s="839"/>
      <c r="H63" s="857"/>
    </row>
    <row r="64" spans="3:8">
      <c r="C64" s="866"/>
      <c r="D64" s="866"/>
      <c r="E64" s="866"/>
      <c r="F64" s="915"/>
      <c r="G64" s="873"/>
      <c r="H64" s="857"/>
    </row>
    <row r="65" spans="3:8" ht="18.75" customHeight="1">
      <c r="F65" s="889"/>
      <c r="H65" s="856"/>
    </row>
    <row r="66" spans="3:8">
      <c r="C66" s="843"/>
      <c r="D66" s="844"/>
      <c r="E66" s="844"/>
      <c r="F66" s="913"/>
      <c r="G66" s="844"/>
      <c r="H66" s="845"/>
    </row>
    <row r="67" spans="3:8">
      <c r="C67" s="838"/>
      <c r="D67" s="838"/>
      <c r="E67" s="851"/>
      <c r="F67" s="914"/>
      <c r="G67" s="839"/>
      <c r="H67" s="853"/>
    </row>
    <row r="68" spans="3:8">
      <c r="C68" s="838"/>
      <c r="D68" s="847"/>
      <c r="E68" s="847"/>
      <c r="F68" s="889"/>
      <c r="G68" s="839"/>
      <c r="H68" s="857"/>
    </row>
    <row r="69" spans="3:8">
      <c r="C69" s="838"/>
      <c r="D69" s="847"/>
      <c r="E69" s="847"/>
      <c r="F69" s="889"/>
      <c r="G69" s="839"/>
      <c r="H69" s="857"/>
    </row>
    <row r="70" spans="3:8">
      <c r="C70" s="838"/>
      <c r="D70" s="847"/>
      <c r="E70" s="847"/>
      <c r="F70" s="889"/>
      <c r="G70" s="839"/>
      <c r="H70" s="857"/>
    </row>
    <row r="71" spans="3:8">
      <c r="C71" s="838"/>
      <c r="D71" s="847"/>
      <c r="E71" s="847"/>
      <c r="F71" s="889"/>
      <c r="G71" s="839"/>
      <c r="H71" s="857"/>
    </row>
    <row r="72" spans="3:8">
      <c r="C72" s="838"/>
      <c r="D72" s="847"/>
      <c r="E72" s="847"/>
      <c r="F72" s="889"/>
      <c r="G72" s="839"/>
      <c r="H72" s="857"/>
    </row>
    <row r="73" spans="3:8">
      <c r="C73" s="838"/>
      <c r="D73" s="847"/>
      <c r="E73" s="847"/>
      <c r="F73" s="889"/>
      <c r="G73" s="839"/>
      <c r="H73" s="857"/>
    </row>
    <row r="74" spans="3:8">
      <c r="C74" s="838"/>
      <c r="D74" s="847"/>
      <c r="E74" s="847"/>
      <c r="F74" s="889"/>
      <c r="G74" s="839"/>
      <c r="H74" s="857"/>
    </row>
    <row r="75" spans="3:8">
      <c r="C75" s="838"/>
      <c r="D75" s="847"/>
      <c r="E75" s="847"/>
      <c r="F75" s="889"/>
      <c r="G75" s="839"/>
      <c r="H75" s="857"/>
    </row>
    <row r="76" spans="3:8">
      <c r="C76" s="838"/>
      <c r="D76" s="847"/>
      <c r="E76" s="847"/>
      <c r="F76" s="889"/>
      <c r="G76" s="839"/>
      <c r="H76" s="857"/>
    </row>
    <row r="77" spans="3:8">
      <c r="C77" s="838"/>
      <c r="D77" s="847"/>
      <c r="E77" s="847"/>
      <c r="F77" s="889"/>
      <c r="G77" s="839"/>
      <c r="H77" s="857"/>
    </row>
    <row r="78" spans="3:8">
      <c r="C78" s="838"/>
      <c r="D78" s="847"/>
      <c r="E78" s="847"/>
      <c r="F78" s="889"/>
      <c r="G78" s="839"/>
      <c r="H78" s="857"/>
    </row>
    <row r="79" spans="3:8">
      <c r="C79" s="838"/>
      <c r="D79" s="847"/>
      <c r="E79" s="847"/>
      <c r="F79" s="889"/>
      <c r="G79" s="839"/>
      <c r="H79" s="857"/>
    </row>
    <row r="80" spans="3:8">
      <c r="C80" s="866"/>
      <c r="D80" s="866"/>
      <c r="E80" s="866"/>
      <c r="F80" s="915"/>
      <c r="G80" s="873"/>
      <c r="H80" s="857"/>
    </row>
    <row r="81" spans="3:8" ht="18" customHeight="1">
      <c r="F81" s="889"/>
      <c r="H81" s="856"/>
    </row>
    <row r="82" spans="3:8">
      <c r="C82" s="843"/>
      <c r="D82" s="844"/>
      <c r="E82" s="844"/>
      <c r="F82" s="913"/>
      <c r="G82" s="844"/>
      <c r="H82" s="845"/>
    </row>
    <row r="83" spans="3:8">
      <c r="C83" s="838"/>
      <c r="D83" s="838"/>
      <c r="E83" s="851"/>
      <c r="F83" s="914"/>
      <c r="G83" s="839"/>
      <c r="H83" s="853"/>
    </row>
    <row r="84" spans="3:8">
      <c r="C84" s="838"/>
      <c r="D84" s="847"/>
      <c r="E84" s="847"/>
      <c r="F84" s="889"/>
      <c r="G84" s="839"/>
      <c r="H84" s="857"/>
    </row>
    <row r="85" spans="3:8">
      <c r="C85" s="838"/>
      <c r="D85" s="847"/>
      <c r="E85" s="847"/>
      <c r="F85" s="889"/>
      <c r="G85" s="839"/>
      <c r="H85" s="857"/>
    </row>
    <row r="86" spans="3:8">
      <c r="C86" s="838"/>
      <c r="D86" s="847"/>
      <c r="E86" s="847"/>
      <c r="F86" s="889"/>
      <c r="G86" s="839"/>
      <c r="H86" s="857"/>
    </row>
    <row r="87" spans="3:8">
      <c r="C87" s="838"/>
      <c r="D87" s="847"/>
      <c r="E87" s="847"/>
      <c r="F87" s="889"/>
      <c r="G87" s="839"/>
      <c r="H87" s="857"/>
    </row>
    <row r="88" spans="3:8">
      <c r="C88" s="838"/>
      <c r="D88" s="847"/>
      <c r="E88" s="847"/>
      <c r="F88" s="889"/>
      <c r="G88" s="839"/>
      <c r="H88" s="857"/>
    </row>
    <row r="89" spans="3:8">
      <c r="C89" s="838"/>
      <c r="D89" s="847"/>
      <c r="E89" s="847"/>
      <c r="F89" s="889"/>
      <c r="G89" s="839"/>
      <c r="H89" s="857"/>
    </row>
    <row r="90" spans="3:8">
      <c r="C90" s="838"/>
      <c r="D90" s="847"/>
      <c r="E90" s="847"/>
      <c r="F90" s="889"/>
      <c r="G90" s="839"/>
      <c r="H90" s="857"/>
    </row>
    <row r="91" spans="3:8">
      <c r="C91" s="838"/>
      <c r="D91" s="847"/>
      <c r="E91" s="847"/>
      <c r="F91" s="889"/>
      <c r="G91" s="839"/>
      <c r="H91" s="857"/>
    </row>
    <row r="92" spans="3:8">
      <c r="C92" s="838"/>
      <c r="D92" s="847"/>
      <c r="E92" s="847"/>
      <c r="F92" s="889"/>
      <c r="G92" s="839"/>
      <c r="H92" s="857"/>
    </row>
    <row r="93" spans="3:8">
      <c r="C93" s="838"/>
      <c r="D93" s="847"/>
      <c r="E93" s="847"/>
      <c r="F93" s="889"/>
      <c r="G93" s="839"/>
      <c r="H93" s="857"/>
    </row>
    <row r="94" spans="3:8">
      <c r="C94" s="838"/>
      <c r="D94" s="847"/>
      <c r="E94" s="847"/>
      <c r="F94" s="889"/>
      <c r="G94" s="839"/>
      <c r="H94" s="857"/>
    </row>
    <row r="95" spans="3:8">
      <c r="C95" s="838"/>
      <c r="D95" s="847"/>
      <c r="E95" s="847"/>
      <c r="F95" s="889"/>
      <c r="G95" s="839"/>
      <c r="H95" s="857"/>
    </row>
    <row r="96" spans="3:8">
      <c r="C96" s="866"/>
      <c r="D96" s="866"/>
      <c r="E96" s="866"/>
      <c r="F96" s="915"/>
      <c r="G96" s="873"/>
      <c r="H96" s="857"/>
    </row>
    <row r="97" spans="3:9" ht="18.75" customHeight="1">
      <c r="F97" s="889"/>
      <c r="H97" s="856"/>
    </row>
    <row r="98" spans="3:9">
      <c r="C98" s="843"/>
      <c r="D98" s="844"/>
      <c r="E98" s="844"/>
      <c r="F98" s="913"/>
      <c r="G98" s="844"/>
      <c r="H98" s="845"/>
    </row>
    <row r="99" spans="3:9">
      <c r="C99" s="838"/>
      <c r="D99" s="838"/>
      <c r="E99" s="851"/>
      <c r="F99" s="914"/>
      <c r="G99" s="839"/>
      <c r="H99" s="853"/>
    </row>
    <row r="100" spans="3:9">
      <c r="C100" s="838"/>
      <c r="D100" s="847"/>
      <c r="E100" s="847"/>
      <c r="F100" s="889"/>
      <c r="G100" s="839"/>
      <c r="H100" s="857"/>
    </row>
    <row r="101" spans="3:9">
      <c r="C101" s="838"/>
      <c r="D101" s="847"/>
      <c r="E101" s="847"/>
      <c r="F101" s="889"/>
      <c r="G101" s="839"/>
      <c r="H101" s="857"/>
    </row>
    <row r="102" spans="3:9">
      <c r="C102" s="838"/>
      <c r="D102" s="847"/>
      <c r="E102" s="847"/>
      <c r="F102" s="889"/>
      <c r="G102" s="839"/>
      <c r="H102" s="857"/>
    </row>
    <row r="103" spans="3:9">
      <c r="C103" s="838"/>
      <c r="D103" s="847"/>
      <c r="E103" s="847"/>
      <c r="F103" s="889"/>
      <c r="G103" s="839"/>
      <c r="H103" s="857"/>
    </row>
    <row r="104" spans="3:9">
      <c r="C104" s="838"/>
      <c r="D104" s="847"/>
      <c r="E104" s="847"/>
      <c r="F104" s="889"/>
      <c r="G104" s="839"/>
      <c r="H104" s="857"/>
    </row>
    <row r="105" spans="3:9">
      <c r="C105" s="838"/>
      <c r="D105" s="847"/>
      <c r="E105" s="847"/>
      <c r="F105" s="889"/>
      <c r="G105" s="839"/>
      <c r="H105" s="857"/>
    </row>
    <row r="106" spans="3:9">
      <c r="C106" s="838"/>
      <c r="D106" s="847"/>
      <c r="E106" s="847"/>
      <c r="F106" s="889"/>
      <c r="G106" s="839"/>
      <c r="H106" s="857"/>
    </row>
    <row r="107" spans="3:9">
      <c r="C107" s="838"/>
      <c r="D107" s="847"/>
      <c r="E107" s="847"/>
      <c r="F107" s="889"/>
      <c r="G107" s="839"/>
      <c r="H107" s="857"/>
    </row>
    <row r="108" spans="3:9">
      <c r="C108" s="838"/>
      <c r="D108" s="847"/>
      <c r="E108" s="847"/>
      <c r="F108" s="889"/>
      <c r="G108" s="839"/>
      <c r="H108" s="857"/>
    </row>
    <row r="109" spans="3:9">
      <c r="C109" s="838"/>
      <c r="D109" s="847"/>
      <c r="E109" s="847"/>
      <c r="F109" s="889"/>
      <c r="G109" s="839"/>
      <c r="H109" s="857"/>
    </row>
    <row r="110" spans="3:9" s="892" customFormat="1" ht="12.75" customHeight="1">
      <c r="C110" s="881"/>
      <c r="D110" s="878"/>
      <c r="E110" s="879"/>
      <c r="F110" s="889"/>
      <c r="G110" s="882"/>
      <c r="H110" s="890"/>
      <c r="I110" s="891"/>
    </row>
    <row r="111" spans="3:9" s="892" customFormat="1" ht="11.25" customHeight="1">
      <c r="C111" s="881"/>
      <c r="D111" s="879"/>
      <c r="E111" s="879"/>
      <c r="F111" s="889"/>
      <c r="G111" s="882"/>
      <c r="H111" s="890"/>
      <c r="I111" s="891"/>
    </row>
    <row r="112" spans="3:9">
      <c r="C112" s="866"/>
      <c r="D112" s="866"/>
      <c r="E112" s="866"/>
      <c r="F112" s="915"/>
      <c r="G112" s="873"/>
      <c r="H112" s="893"/>
    </row>
    <row r="113" spans="5:7">
      <c r="F113" s="914"/>
    </row>
    <row r="114" spans="5:7" ht="15">
      <c r="E114" s="868"/>
      <c r="F114" s="2680"/>
      <c r="G114" s="2680"/>
    </row>
  </sheetData>
  <mergeCells count="1">
    <mergeCell ref="F114:G114"/>
  </mergeCells>
  <printOptions gridLines="1"/>
  <pageMargins left="0" right="0" top="1.2480314960000001" bottom="1.2480314960000001" header="0.31496062992126" footer="0.31496062992126"/>
  <pageSetup paperSize="9" scale="9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O114"/>
  <sheetViews>
    <sheetView workbookViewId="0">
      <selection activeCell="C14" sqref="C14"/>
    </sheetView>
  </sheetViews>
  <sheetFormatPr defaultRowHeight="12.75"/>
  <cols>
    <col min="1" max="1" width="15.28515625" style="837" customWidth="1"/>
    <col min="2" max="2" width="5" style="917" customWidth="1"/>
    <col min="3" max="3" width="9.85546875" style="837" customWidth="1"/>
    <col min="4" max="4" width="12.28515625" style="837" customWidth="1"/>
    <col min="5" max="5" width="9.28515625" style="837" customWidth="1"/>
    <col min="6" max="6" width="4.7109375" style="917" customWidth="1"/>
    <col min="7" max="7" width="10.85546875" style="876" customWidth="1"/>
    <col min="8" max="8" width="10.85546875" style="837" customWidth="1"/>
    <col min="9" max="9" width="8.85546875" style="840" customWidth="1"/>
    <col min="10" max="10" width="4.7109375" style="917" customWidth="1"/>
    <col min="11" max="11" width="10.42578125" style="837" bestFit="1" customWidth="1"/>
    <col min="12" max="12" width="11" style="837" bestFit="1" customWidth="1"/>
    <col min="13" max="13" width="8.85546875" style="837" customWidth="1"/>
    <col min="14" max="14" width="9.140625" style="837"/>
    <col min="15" max="15" width="12" style="837" customWidth="1"/>
    <col min="16" max="16384" width="9.140625" style="837"/>
  </cols>
  <sheetData>
    <row r="1" spans="1:15">
      <c r="B1" s="868" t="s">
        <v>1930</v>
      </c>
      <c r="C1" s="838"/>
      <c r="D1" s="838"/>
      <c r="E1" s="838"/>
      <c r="F1" s="916"/>
      <c r="G1" s="839"/>
      <c r="H1" s="838"/>
    </row>
    <row r="2" spans="1:15">
      <c r="B2" s="918"/>
      <c r="C2" s="896" t="s">
        <v>1278</v>
      </c>
      <c r="D2" s="897">
        <v>3</v>
      </c>
      <c r="E2" s="898" t="s">
        <v>1895</v>
      </c>
      <c r="F2" s="918"/>
      <c r="G2" s="908" t="s">
        <v>1278</v>
      </c>
      <c r="H2" s="897">
        <v>3</v>
      </c>
      <c r="I2" s="898" t="s">
        <v>1895</v>
      </c>
      <c r="J2" s="918"/>
      <c r="K2" s="896" t="s">
        <v>1278</v>
      </c>
      <c r="L2" s="897">
        <v>3</v>
      </c>
      <c r="M2" s="898" t="s">
        <v>1895</v>
      </c>
      <c r="N2" s="846"/>
    </row>
    <row r="3" spans="1:15">
      <c r="B3" s="919" t="s">
        <v>1898</v>
      </c>
      <c r="C3" s="838"/>
      <c r="D3" s="920">
        <v>2588097531</v>
      </c>
      <c r="E3" s="900">
        <v>0.11</v>
      </c>
      <c r="F3" s="919" t="s">
        <v>1898</v>
      </c>
      <c r="G3" s="838"/>
      <c r="H3" s="838">
        <f>D15</f>
        <v>2792114302</v>
      </c>
      <c r="I3" s="900">
        <v>0.11</v>
      </c>
      <c r="J3" s="919" t="s">
        <v>1898</v>
      </c>
      <c r="K3" s="838"/>
      <c r="L3" s="838">
        <f>H15</f>
        <v>2534967573</v>
      </c>
      <c r="M3" s="900">
        <v>0.11</v>
      </c>
      <c r="O3" s="837">
        <f>D3/10^7</f>
        <v>258.80975310000002</v>
      </c>
    </row>
    <row r="4" spans="1:15">
      <c r="A4" s="837">
        <v>99432227</v>
      </c>
      <c r="B4" s="921">
        <v>40644</v>
      </c>
      <c r="C4" s="838"/>
      <c r="D4" s="922">
        <f t="shared" ref="D4:D15" si="0">D3-C4</f>
        <v>2588097531</v>
      </c>
      <c r="E4" s="902"/>
      <c r="F4" s="923">
        <v>41011</v>
      </c>
      <c r="G4" s="838"/>
      <c r="H4" s="847">
        <f t="shared" ref="H4:H15" si="1">H3-G4</f>
        <v>2792114302</v>
      </c>
      <c r="I4" s="902"/>
      <c r="J4" s="923">
        <v>41377</v>
      </c>
      <c r="K4" s="838"/>
      <c r="L4" s="847">
        <f t="shared" ref="L4:L15" si="2">L3-K4</f>
        <v>2534967573</v>
      </c>
      <c r="M4" s="902"/>
    </row>
    <row r="5" spans="1:15">
      <c r="A5" s="837">
        <v>23357600</v>
      </c>
      <c r="B5" s="921">
        <v>40674</v>
      </c>
      <c r="C5" s="838"/>
      <c r="D5" s="922">
        <f t="shared" si="0"/>
        <v>2588097531</v>
      </c>
      <c r="E5" s="902"/>
      <c r="F5" s="923">
        <v>41041</v>
      </c>
      <c r="G5" s="838"/>
      <c r="H5" s="847">
        <f t="shared" si="1"/>
        <v>2792114302</v>
      </c>
      <c r="I5" s="902"/>
      <c r="J5" s="923">
        <v>41409</v>
      </c>
      <c r="K5" s="838"/>
      <c r="L5" s="847">
        <f t="shared" si="2"/>
        <v>2534967573</v>
      </c>
      <c r="M5" s="902"/>
      <c r="O5" s="837">
        <v>894890040</v>
      </c>
    </row>
    <row r="6" spans="1:15" s="864" customFormat="1">
      <c r="A6" s="868">
        <v>87504212</v>
      </c>
      <c r="B6" s="921">
        <v>40705</v>
      </c>
      <c r="C6" s="838">
        <v>0</v>
      </c>
      <c r="D6" s="922">
        <f t="shared" si="0"/>
        <v>2588097531</v>
      </c>
      <c r="E6" s="902">
        <v>75209462</v>
      </c>
      <c r="F6" s="923">
        <v>41072</v>
      </c>
      <c r="G6" s="838"/>
      <c r="H6" s="847">
        <f t="shared" si="1"/>
        <v>2792114302</v>
      </c>
      <c r="I6" s="902">
        <f>ROUND((H5*0.11/365*91),0)</f>
        <v>76572779</v>
      </c>
      <c r="J6" s="923">
        <v>41441</v>
      </c>
      <c r="K6" s="838">
        <v>45656656</v>
      </c>
      <c r="L6" s="847">
        <f t="shared" si="2"/>
        <v>2489310917</v>
      </c>
      <c r="M6" s="902">
        <f>ROUND((L5*0.11/365*91),0)</f>
        <v>69520618</v>
      </c>
      <c r="N6" s="837"/>
      <c r="O6" s="837">
        <v>233576000</v>
      </c>
    </row>
    <row r="7" spans="1:15" s="868" customFormat="1">
      <c r="A7" s="868">
        <v>46852690</v>
      </c>
      <c r="B7" s="921">
        <v>40735</v>
      </c>
      <c r="C7" s="838"/>
      <c r="D7" s="922">
        <f t="shared" si="0"/>
        <v>2588097531</v>
      </c>
      <c r="E7" s="902"/>
      <c r="F7" s="923">
        <v>41102</v>
      </c>
      <c r="G7" s="838"/>
      <c r="H7" s="847">
        <f t="shared" si="1"/>
        <v>2792114302</v>
      </c>
      <c r="I7" s="902"/>
      <c r="J7" s="923">
        <v>41473</v>
      </c>
      <c r="K7" s="838"/>
      <c r="L7" s="847">
        <f t="shared" si="2"/>
        <v>2489310917</v>
      </c>
      <c r="M7" s="902"/>
      <c r="N7" s="837"/>
      <c r="O7" s="837">
        <v>875042127</v>
      </c>
    </row>
    <row r="8" spans="1:15" s="868" customFormat="1">
      <c r="A8" s="864">
        <f>SUM(A4:A7)</f>
        <v>257146729</v>
      </c>
      <c r="B8" s="921">
        <v>40766</v>
      </c>
      <c r="C8" s="838"/>
      <c r="D8" s="922">
        <f t="shared" si="0"/>
        <v>2588097531</v>
      </c>
      <c r="E8" s="902"/>
      <c r="F8" s="923">
        <v>41133</v>
      </c>
      <c r="G8" s="838"/>
      <c r="H8" s="847">
        <f t="shared" si="1"/>
        <v>2792114302</v>
      </c>
      <c r="I8" s="902"/>
      <c r="J8" s="923">
        <v>41505</v>
      </c>
      <c r="K8" s="838">
        <v>12065940</v>
      </c>
      <c r="L8" s="847">
        <f t="shared" si="2"/>
        <v>2477244977</v>
      </c>
      <c r="M8" s="902"/>
      <c r="N8" s="837"/>
      <c r="O8" s="837">
        <v>468526900</v>
      </c>
    </row>
    <row r="9" spans="1:15" s="864" customFormat="1">
      <c r="B9" s="921">
        <v>40797</v>
      </c>
      <c r="C9" s="838">
        <v>0</v>
      </c>
      <c r="D9" s="922">
        <v>3049261031</v>
      </c>
      <c r="E9" s="902">
        <v>83697851</v>
      </c>
      <c r="F9" s="923">
        <v>41164</v>
      </c>
      <c r="G9" s="838"/>
      <c r="H9" s="847">
        <f t="shared" si="1"/>
        <v>2792114302</v>
      </c>
      <c r="I9" s="902">
        <f>ROUND((H8*0.11/365*92),0)</f>
        <v>77414238</v>
      </c>
      <c r="J9" s="923">
        <v>41537</v>
      </c>
      <c r="K9" s="838"/>
      <c r="L9" s="847">
        <f t="shared" si="2"/>
        <v>2477244977</v>
      </c>
      <c r="M9" s="902">
        <f>ROUND((L8*0.11/365*92),0)</f>
        <v>68684162</v>
      </c>
      <c r="N9" s="837"/>
      <c r="O9" s="837">
        <f>SUM(O5:O8)</f>
        <v>2472035067</v>
      </c>
    </row>
    <row r="10" spans="1:15" s="868" customFormat="1">
      <c r="B10" s="921">
        <v>40827</v>
      </c>
      <c r="C10" s="838"/>
      <c r="D10" s="922">
        <f t="shared" si="0"/>
        <v>3049261031</v>
      </c>
      <c r="E10" s="902"/>
      <c r="F10" s="923">
        <v>41194</v>
      </c>
      <c r="G10" s="838"/>
      <c r="H10" s="847">
        <f t="shared" si="1"/>
        <v>2792114302</v>
      </c>
      <c r="I10" s="902"/>
      <c r="J10" s="923">
        <v>41569</v>
      </c>
      <c r="K10" s="838"/>
      <c r="L10" s="847">
        <f t="shared" si="2"/>
        <v>2477244977</v>
      </c>
      <c r="M10" s="902"/>
      <c r="N10" s="837"/>
      <c r="O10" s="837"/>
    </row>
    <row r="11" spans="1:15" s="864" customFormat="1">
      <c r="B11" s="921">
        <v>40858</v>
      </c>
      <c r="C11" s="838"/>
      <c r="D11" s="922">
        <f t="shared" si="0"/>
        <v>3049261031</v>
      </c>
      <c r="E11" s="902"/>
      <c r="F11" s="923">
        <v>41225</v>
      </c>
      <c r="G11" s="838"/>
      <c r="H11" s="847">
        <f t="shared" si="1"/>
        <v>2792114302</v>
      </c>
      <c r="I11" s="902"/>
      <c r="J11" s="923">
        <v>41601</v>
      </c>
      <c r="K11" s="838"/>
      <c r="L11" s="847">
        <f t="shared" si="2"/>
        <v>2477244977</v>
      </c>
      <c r="M11" s="902"/>
      <c r="N11" s="837"/>
      <c r="O11" s="837"/>
    </row>
    <row r="12" spans="1:15" s="868" customFormat="1">
      <c r="B12" s="921">
        <v>40888</v>
      </c>
      <c r="C12" s="838">
        <v>0</v>
      </c>
      <c r="D12" s="922">
        <f t="shared" si="0"/>
        <v>3049261031</v>
      </c>
      <c r="E12" s="902">
        <f>ROUND((D11*0.11/365*92),0)</f>
        <v>84543895</v>
      </c>
      <c r="F12" s="923">
        <v>41255</v>
      </c>
      <c r="G12" s="838"/>
      <c r="H12" s="847">
        <f t="shared" si="1"/>
        <v>2792114302</v>
      </c>
      <c r="I12" s="902">
        <f>ROUND((H11*0.11/365*92),0)</f>
        <v>77414238</v>
      </c>
      <c r="J12" s="923">
        <v>41633</v>
      </c>
      <c r="K12" s="838"/>
      <c r="L12" s="847">
        <f t="shared" si="2"/>
        <v>2477244977</v>
      </c>
      <c r="M12" s="902">
        <f>ROUND((L11*0.11/365*92),0)</f>
        <v>68684162</v>
      </c>
      <c r="N12" s="837"/>
      <c r="O12" s="837"/>
    </row>
    <row r="13" spans="1:15" s="868" customFormat="1">
      <c r="B13" s="921">
        <v>40555</v>
      </c>
      <c r="C13" s="838"/>
      <c r="D13" s="922">
        <f t="shared" si="0"/>
        <v>3049261031</v>
      </c>
      <c r="E13" s="902"/>
      <c r="F13" s="923">
        <v>41286</v>
      </c>
      <c r="G13" s="838"/>
      <c r="H13" s="847">
        <f t="shared" si="1"/>
        <v>2792114302</v>
      </c>
      <c r="I13" s="902"/>
      <c r="J13" s="923">
        <v>41665</v>
      </c>
      <c r="K13" s="838"/>
      <c r="L13" s="847">
        <f t="shared" si="2"/>
        <v>2477244977</v>
      </c>
      <c r="M13" s="902"/>
      <c r="N13" s="837"/>
      <c r="O13" s="837"/>
    </row>
    <row r="14" spans="1:15" s="864" customFormat="1">
      <c r="B14" s="921">
        <v>40586</v>
      </c>
      <c r="C14" s="838">
        <v>257146729</v>
      </c>
      <c r="D14" s="922">
        <f t="shared" si="0"/>
        <v>2792114302</v>
      </c>
      <c r="E14" s="902"/>
      <c r="F14" s="923">
        <v>41317</v>
      </c>
      <c r="G14" s="838">
        <v>257146729</v>
      </c>
      <c r="H14" s="847">
        <f t="shared" si="1"/>
        <v>2534967573</v>
      </c>
      <c r="I14" s="902"/>
      <c r="J14" s="923">
        <v>41697</v>
      </c>
      <c r="K14" s="838">
        <v>257146729</v>
      </c>
      <c r="L14" s="847">
        <f t="shared" si="2"/>
        <v>2220098248</v>
      </c>
      <c r="M14" s="902"/>
      <c r="N14" s="837"/>
      <c r="O14" s="837"/>
    </row>
    <row r="15" spans="1:15">
      <c r="B15" s="921">
        <v>40614</v>
      </c>
      <c r="C15" s="838">
        <v>0</v>
      </c>
      <c r="D15" s="922">
        <f t="shared" si="0"/>
        <v>2792114302</v>
      </c>
      <c r="E15" s="902">
        <f>ROUND((D14*0.11/365*91),0)</f>
        <v>76572779</v>
      </c>
      <c r="F15" s="923">
        <v>41345</v>
      </c>
      <c r="G15" s="838"/>
      <c r="H15" s="847">
        <f t="shared" si="1"/>
        <v>2534967573</v>
      </c>
      <c r="I15" s="902">
        <f>ROUND((H14*0.11/365*90),0)</f>
        <v>68756655</v>
      </c>
      <c r="J15" s="923">
        <v>41729</v>
      </c>
      <c r="K15" s="838"/>
      <c r="L15" s="847">
        <f t="shared" si="2"/>
        <v>2220098248</v>
      </c>
      <c r="M15" s="902">
        <f>ROUND((L14*0.11/365*90),0)</f>
        <v>60216363</v>
      </c>
    </row>
    <row r="16" spans="1:15" s="864" customFormat="1">
      <c r="B16" s="924"/>
      <c r="C16" s="905">
        <f>SUM(C4:C15)</f>
        <v>257146729</v>
      </c>
      <c r="D16" s="2681">
        <f>SUM(E4:E15)</f>
        <v>320023987</v>
      </c>
      <c r="E16" s="2682"/>
      <c r="F16" s="924"/>
      <c r="G16" s="905">
        <f>SUM(G4:G15)</f>
        <v>257146729</v>
      </c>
      <c r="H16" s="2681">
        <f>SUM(I4:I15)</f>
        <v>300157910</v>
      </c>
      <c r="I16" s="2682"/>
      <c r="J16" s="924"/>
      <c r="K16" s="905">
        <f>SUM(K4:K15)</f>
        <v>314869325</v>
      </c>
      <c r="L16" s="2681">
        <f>SUM(M4:M15)</f>
        <v>267105305</v>
      </c>
      <c r="M16" s="2682"/>
    </row>
    <row r="17" spans="2:14" ht="15.75" customHeight="1">
      <c r="C17" s="838"/>
      <c r="D17" s="838"/>
      <c r="E17" s="838"/>
      <c r="F17" s="925"/>
      <c r="G17" s="839"/>
      <c r="H17" s="856"/>
    </row>
    <row r="18" spans="2:14">
      <c r="B18" s="918"/>
      <c r="C18" s="896" t="s">
        <v>1278</v>
      </c>
      <c r="D18" s="897">
        <v>3</v>
      </c>
      <c r="E18" s="898" t="s">
        <v>1895</v>
      </c>
      <c r="F18" s="918"/>
      <c r="G18" s="908" t="s">
        <v>1278</v>
      </c>
      <c r="H18" s="897">
        <v>3</v>
      </c>
      <c r="I18" s="898" t="s">
        <v>1895</v>
      </c>
      <c r="J18" s="918"/>
      <c r="K18" s="896" t="s">
        <v>1278</v>
      </c>
      <c r="L18" s="897">
        <v>3</v>
      </c>
      <c r="M18" s="898" t="s">
        <v>1895</v>
      </c>
    </row>
    <row r="19" spans="2:14">
      <c r="B19" s="919" t="s">
        <v>1898</v>
      </c>
      <c r="C19" s="838"/>
      <c r="D19" s="838">
        <f>L15</f>
        <v>2220098248</v>
      </c>
      <c r="E19" s="900">
        <v>0.11</v>
      </c>
      <c r="F19" s="919" t="s">
        <v>1898</v>
      </c>
      <c r="G19" s="838"/>
      <c r="H19" s="838">
        <f>D31</f>
        <v>1905228923</v>
      </c>
      <c r="I19" s="900">
        <v>0.11</v>
      </c>
      <c r="J19" s="919" t="s">
        <v>1898</v>
      </c>
      <c r="K19" s="838"/>
      <c r="L19" s="838">
        <f>H31</f>
        <v>1590359598</v>
      </c>
      <c r="M19" s="900">
        <v>0.11</v>
      </c>
    </row>
    <row r="20" spans="2:14">
      <c r="B20" s="923">
        <v>41742</v>
      </c>
      <c r="C20" s="838"/>
      <c r="D20" s="847">
        <f t="shared" ref="D20:D31" si="3">D19-C20</f>
        <v>2220098248</v>
      </c>
      <c r="E20" s="902"/>
      <c r="F20" s="923">
        <v>42107</v>
      </c>
      <c r="G20" s="838"/>
      <c r="H20" s="847">
        <f t="shared" ref="H20:H31" si="4">H19-G20</f>
        <v>1905228923</v>
      </c>
      <c r="I20" s="902"/>
      <c r="J20" s="923">
        <v>42473</v>
      </c>
      <c r="K20" s="838"/>
      <c r="L20" s="847">
        <f t="shared" ref="L20:L31" si="5">L19-K20</f>
        <v>1590359598</v>
      </c>
      <c r="M20" s="902"/>
    </row>
    <row r="21" spans="2:14">
      <c r="B21" s="923">
        <v>41774</v>
      </c>
      <c r="C21" s="838"/>
      <c r="D21" s="847">
        <f t="shared" si="3"/>
        <v>2220098248</v>
      </c>
      <c r="E21" s="902"/>
      <c r="F21" s="923">
        <v>42139</v>
      </c>
      <c r="G21" s="838"/>
      <c r="H21" s="847">
        <f t="shared" si="4"/>
        <v>1905228923</v>
      </c>
      <c r="I21" s="902"/>
      <c r="J21" s="923">
        <v>42505</v>
      </c>
      <c r="K21" s="838"/>
      <c r="L21" s="847">
        <f t="shared" si="5"/>
        <v>1590359598</v>
      </c>
      <c r="M21" s="902"/>
    </row>
    <row r="22" spans="2:14">
      <c r="B22" s="923">
        <v>41806</v>
      </c>
      <c r="C22" s="838">
        <v>45656656</v>
      </c>
      <c r="D22" s="847">
        <f t="shared" si="3"/>
        <v>2174441592</v>
      </c>
      <c r="E22" s="902">
        <f>ROUND((D21*0.11/365*91),0)</f>
        <v>60885434</v>
      </c>
      <c r="F22" s="923">
        <v>42171</v>
      </c>
      <c r="G22" s="838">
        <v>45656656</v>
      </c>
      <c r="H22" s="847">
        <f t="shared" si="4"/>
        <v>1859572267</v>
      </c>
      <c r="I22" s="902">
        <f>ROUND((H21*0.11/365*91),0)</f>
        <v>52250251</v>
      </c>
      <c r="J22" s="923">
        <v>42537</v>
      </c>
      <c r="K22" s="838">
        <v>45656656</v>
      </c>
      <c r="L22" s="847">
        <f t="shared" si="5"/>
        <v>1544702942</v>
      </c>
      <c r="M22" s="902">
        <f>ROUND((L21*0.11/365*91),0)</f>
        <v>43615067</v>
      </c>
      <c r="N22" s="838">
        <v>45656656</v>
      </c>
    </row>
    <row r="23" spans="2:14">
      <c r="B23" s="923">
        <v>41838</v>
      </c>
      <c r="C23" s="838"/>
      <c r="D23" s="847">
        <f t="shared" si="3"/>
        <v>2174441592</v>
      </c>
      <c r="E23" s="902"/>
      <c r="F23" s="923">
        <v>42203</v>
      </c>
      <c r="G23" s="838"/>
      <c r="H23" s="847">
        <f t="shared" si="4"/>
        <v>1859572267</v>
      </c>
      <c r="I23" s="902"/>
      <c r="J23" s="923">
        <v>42569</v>
      </c>
      <c r="K23" s="838"/>
      <c r="L23" s="847">
        <f t="shared" si="5"/>
        <v>1544702942</v>
      </c>
      <c r="M23" s="902"/>
      <c r="N23" s="838"/>
    </row>
    <row r="24" spans="2:14">
      <c r="B24" s="923">
        <v>41870</v>
      </c>
      <c r="C24" s="838">
        <v>12065940</v>
      </c>
      <c r="D24" s="847">
        <f t="shared" si="3"/>
        <v>2162375652</v>
      </c>
      <c r="E24" s="902"/>
      <c r="F24" s="923">
        <v>42235</v>
      </c>
      <c r="G24" s="838">
        <v>12065940</v>
      </c>
      <c r="H24" s="847">
        <f t="shared" si="4"/>
        <v>1847506327</v>
      </c>
      <c r="I24" s="902"/>
      <c r="J24" s="923">
        <v>42601</v>
      </c>
      <c r="K24" s="838">
        <v>12065940</v>
      </c>
      <c r="L24" s="847">
        <f t="shared" si="5"/>
        <v>1532637002</v>
      </c>
      <c r="M24" s="902"/>
      <c r="N24" s="838">
        <v>12065940</v>
      </c>
    </row>
    <row r="25" spans="2:14">
      <c r="B25" s="923">
        <v>41902</v>
      </c>
      <c r="C25" s="838"/>
      <c r="D25" s="847">
        <f t="shared" si="3"/>
        <v>2162375652</v>
      </c>
      <c r="E25" s="902">
        <f>ROUND((D24*0.11/365*92),0)</f>
        <v>59954087</v>
      </c>
      <c r="F25" s="923">
        <v>42267</v>
      </c>
      <c r="G25" s="838"/>
      <c r="H25" s="847">
        <f t="shared" si="4"/>
        <v>1847506327</v>
      </c>
      <c r="I25" s="902">
        <f>ROUND((H24*0.11/365*92),0)</f>
        <v>51224011</v>
      </c>
      <c r="J25" s="923">
        <v>42633</v>
      </c>
      <c r="K25" s="838"/>
      <c r="L25" s="847">
        <f t="shared" si="5"/>
        <v>1532637002</v>
      </c>
      <c r="M25" s="902">
        <f>ROUND((L24*0.11/365*92),0)</f>
        <v>42493936</v>
      </c>
    </row>
    <row r="26" spans="2:14">
      <c r="B26" s="923">
        <v>41934</v>
      </c>
      <c r="C26" s="838"/>
      <c r="D26" s="847">
        <f t="shared" si="3"/>
        <v>2162375652</v>
      </c>
      <c r="E26" s="902"/>
      <c r="F26" s="923">
        <v>42299</v>
      </c>
      <c r="G26" s="838"/>
      <c r="H26" s="847">
        <f t="shared" si="4"/>
        <v>1847506327</v>
      </c>
      <c r="I26" s="902"/>
      <c r="J26" s="923">
        <v>42665</v>
      </c>
      <c r="K26" s="838"/>
      <c r="L26" s="847">
        <f t="shared" si="5"/>
        <v>1532637002</v>
      </c>
      <c r="M26" s="902"/>
    </row>
    <row r="27" spans="2:14">
      <c r="B27" s="923">
        <v>41966</v>
      </c>
      <c r="C27" s="838"/>
      <c r="D27" s="847">
        <f t="shared" si="3"/>
        <v>2162375652</v>
      </c>
      <c r="E27" s="902"/>
      <c r="F27" s="923">
        <v>42331</v>
      </c>
      <c r="G27" s="838"/>
      <c r="H27" s="847">
        <f t="shared" si="4"/>
        <v>1847506327</v>
      </c>
      <c r="I27" s="902"/>
      <c r="J27" s="923">
        <v>42697</v>
      </c>
      <c r="K27" s="838"/>
      <c r="L27" s="847">
        <f t="shared" si="5"/>
        <v>1532637002</v>
      </c>
      <c r="M27" s="902"/>
    </row>
    <row r="28" spans="2:14">
      <c r="B28" s="923">
        <v>41998</v>
      </c>
      <c r="C28" s="838"/>
      <c r="D28" s="847">
        <f t="shared" si="3"/>
        <v>2162375652</v>
      </c>
      <c r="E28" s="902">
        <f>ROUND((D27*0.11/365*92),0)</f>
        <v>59954087</v>
      </c>
      <c r="F28" s="923">
        <v>42363</v>
      </c>
      <c r="G28" s="838"/>
      <c r="H28" s="847">
        <f t="shared" si="4"/>
        <v>1847506327</v>
      </c>
      <c r="I28" s="902">
        <f>ROUND((H27*0.11/365*92),0)</f>
        <v>51224011</v>
      </c>
      <c r="J28" s="923">
        <v>42729</v>
      </c>
      <c r="K28" s="838"/>
      <c r="L28" s="847">
        <f t="shared" si="5"/>
        <v>1532637002</v>
      </c>
      <c r="M28" s="902">
        <f>ROUND((L27*0.11/365*92),0)</f>
        <v>42493936</v>
      </c>
    </row>
    <row r="29" spans="2:14">
      <c r="B29" s="923">
        <v>42030</v>
      </c>
      <c r="C29" s="838"/>
      <c r="D29" s="847">
        <f t="shared" si="3"/>
        <v>2162375652</v>
      </c>
      <c r="E29" s="902"/>
      <c r="F29" s="923">
        <v>42395</v>
      </c>
      <c r="G29" s="838"/>
      <c r="H29" s="847">
        <f t="shared" si="4"/>
        <v>1847506327</v>
      </c>
      <c r="I29" s="902"/>
      <c r="J29" s="923">
        <v>42761</v>
      </c>
      <c r="K29" s="838"/>
      <c r="L29" s="847">
        <f t="shared" si="5"/>
        <v>1532637002</v>
      </c>
      <c r="M29" s="902"/>
    </row>
    <row r="30" spans="2:14">
      <c r="B30" s="923">
        <v>42062</v>
      </c>
      <c r="C30" s="838">
        <v>257146729</v>
      </c>
      <c r="D30" s="847">
        <f t="shared" si="3"/>
        <v>1905228923</v>
      </c>
      <c r="E30" s="902"/>
      <c r="F30" s="923">
        <v>42427</v>
      </c>
      <c r="G30" s="838">
        <v>257146729</v>
      </c>
      <c r="H30" s="847">
        <f t="shared" si="4"/>
        <v>1590359598</v>
      </c>
      <c r="I30" s="902"/>
      <c r="J30" s="923">
        <v>42793</v>
      </c>
      <c r="K30" s="838">
        <v>257146729</v>
      </c>
      <c r="L30" s="847">
        <f t="shared" si="5"/>
        <v>1275490273</v>
      </c>
      <c r="M30" s="902"/>
    </row>
    <row r="31" spans="2:14">
      <c r="B31" s="923">
        <v>42094</v>
      </c>
      <c r="C31" s="838"/>
      <c r="D31" s="847">
        <f t="shared" si="3"/>
        <v>1905228923</v>
      </c>
      <c r="E31" s="902">
        <f>ROUND((D30*0.11/365*90),0)</f>
        <v>51676072</v>
      </c>
      <c r="F31" s="923">
        <v>42459</v>
      </c>
      <c r="G31" s="838"/>
      <c r="H31" s="847">
        <f t="shared" si="4"/>
        <v>1590359598</v>
      </c>
      <c r="I31" s="902">
        <f>ROUND((H30*0.11/365*90),0)</f>
        <v>43135781</v>
      </c>
      <c r="J31" s="923">
        <v>42825</v>
      </c>
      <c r="K31" s="838"/>
      <c r="L31" s="847">
        <f t="shared" si="5"/>
        <v>1275490273</v>
      </c>
      <c r="M31" s="902">
        <f>ROUND((L30*0.11/365*90),0)</f>
        <v>34595490</v>
      </c>
    </row>
    <row r="32" spans="2:14">
      <c r="B32" s="924"/>
      <c r="C32" s="905">
        <f>SUM(C20:C31)</f>
        <v>314869325</v>
      </c>
      <c r="D32" s="2681">
        <f>SUM(E20:E31)</f>
        <v>232469680</v>
      </c>
      <c r="E32" s="2682"/>
      <c r="F32" s="924"/>
      <c r="G32" s="905">
        <f>SUM(G20:G31)</f>
        <v>314869325</v>
      </c>
      <c r="H32" s="2681">
        <f>SUM(I20:I31)</f>
        <v>197834054</v>
      </c>
      <c r="I32" s="2682"/>
      <c r="J32" s="924"/>
      <c r="K32" s="905">
        <f>SUM(K20:K31)</f>
        <v>314869325</v>
      </c>
      <c r="L32" s="2681">
        <f>SUM(M20:M31)</f>
        <v>163198429</v>
      </c>
      <c r="M32" s="2682"/>
    </row>
    <row r="33" spans="2:13" ht="17.25" customHeight="1">
      <c r="C33" s="866"/>
      <c r="D33" s="875"/>
      <c r="E33" s="875"/>
      <c r="F33" s="925"/>
      <c r="H33" s="856"/>
    </row>
    <row r="34" spans="2:13">
      <c r="B34" s="918"/>
      <c r="C34" s="896" t="s">
        <v>1278</v>
      </c>
      <c r="D34" s="897">
        <v>3</v>
      </c>
      <c r="E34" s="898" t="s">
        <v>1895</v>
      </c>
      <c r="F34" s="918"/>
      <c r="G34" s="908" t="s">
        <v>1278</v>
      </c>
      <c r="H34" s="897">
        <v>3</v>
      </c>
      <c r="I34" s="898" t="s">
        <v>1895</v>
      </c>
      <c r="J34" s="918"/>
      <c r="K34" s="908" t="s">
        <v>1278</v>
      </c>
      <c r="L34" s="897">
        <v>3</v>
      </c>
      <c r="M34" s="898" t="s">
        <v>1895</v>
      </c>
    </row>
    <row r="35" spans="2:13">
      <c r="B35" s="919" t="s">
        <v>1898</v>
      </c>
      <c r="C35" s="838"/>
      <c r="D35" s="838">
        <f>L31</f>
        <v>1275490273</v>
      </c>
      <c r="E35" s="900">
        <v>0.11</v>
      </c>
      <c r="F35" s="919" t="s">
        <v>1898</v>
      </c>
      <c r="G35" s="838"/>
      <c r="H35" s="838">
        <f>D47</f>
        <v>960620948</v>
      </c>
      <c r="I35" s="900">
        <v>0.11</v>
      </c>
      <c r="J35" s="919" t="s">
        <v>1898</v>
      </c>
      <c r="K35" s="838"/>
      <c r="L35" s="838">
        <f>H47</f>
        <v>645751623</v>
      </c>
      <c r="M35" s="900">
        <v>0.11</v>
      </c>
    </row>
    <row r="36" spans="2:13">
      <c r="B36" s="923">
        <v>42838</v>
      </c>
      <c r="C36" s="838"/>
      <c r="D36" s="847">
        <f t="shared" ref="D36:D47" si="6">D35-C36</f>
        <v>1275490273</v>
      </c>
      <c r="E36" s="902"/>
      <c r="F36" s="923">
        <v>43203</v>
      </c>
      <c r="G36" s="838"/>
      <c r="H36" s="847">
        <f t="shared" ref="H36:H47" si="7">H35-G36</f>
        <v>960620948</v>
      </c>
      <c r="I36" s="902"/>
      <c r="J36" s="923">
        <v>43568</v>
      </c>
      <c r="K36" s="838"/>
      <c r="L36" s="847">
        <f t="shared" ref="L36:L47" si="8">L35-K36</f>
        <v>645751623</v>
      </c>
      <c r="M36" s="902"/>
    </row>
    <row r="37" spans="2:13">
      <c r="B37" s="923">
        <v>42870</v>
      </c>
      <c r="C37" s="838"/>
      <c r="D37" s="847">
        <f t="shared" si="6"/>
        <v>1275490273</v>
      </c>
      <c r="E37" s="902"/>
      <c r="F37" s="923">
        <v>43235</v>
      </c>
      <c r="G37" s="838"/>
      <c r="H37" s="847">
        <f t="shared" si="7"/>
        <v>960620948</v>
      </c>
      <c r="I37" s="902"/>
      <c r="J37" s="923">
        <v>43600</v>
      </c>
      <c r="K37" s="838"/>
      <c r="L37" s="847">
        <f t="shared" si="8"/>
        <v>645751623</v>
      </c>
      <c r="M37" s="902"/>
    </row>
    <row r="38" spans="2:13">
      <c r="B38" s="923">
        <v>42902</v>
      </c>
      <c r="C38" s="838">
        <v>45656656</v>
      </c>
      <c r="D38" s="847">
        <f t="shared" si="6"/>
        <v>1229833617</v>
      </c>
      <c r="E38" s="902">
        <f>ROUND((D37*0.11/365*91),0)</f>
        <v>34979884</v>
      </c>
      <c r="F38" s="923">
        <v>43267</v>
      </c>
      <c r="G38" s="838">
        <v>45656656</v>
      </c>
      <c r="H38" s="847">
        <f t="shared" si="7"/>
        <v>914964292</v>
      </c>
      <c r="I38" s="902">
        <f>ROUND((H37*0.11/365*91),0)</f>
        <v>26344701</v>
      </c>
      <c r="J38" s="923">
        <v>43632</v>
      </c>
      <c r="K38" s="838">
        <v>45656656</v>
      </c>
      <c r="L38" s="847">
        <f t="shared" si="8"/>
        <v>600094967</v>
      </c>
      <c r="M38" s="902">
        <f>ROUND((L37*0.11/365*91),0)</f>
        <v>17709517</v>
      </c>
    </row>
    <row r="39" spans="2:13">
      <c r="B39" s="923">
        <v>42934</v>
      </c>
      <c r="C39" s="838"/>
      <c r="D39" s="847">
        <f t="shared" si="6"/>
        <v>1229833617</v>
      </c>
      <c r="E39" s="902"/>
      <c r="F39" s="923">
        <v>43299</v>
      </c>
      <c r="G39" s="838"/>
      <c r="H39" s="847">
        <f t="shared" si="7"/>
        <v>914964292</v>
      </c>
      <c r="I39" s="902"/>
      <c r="J39" s="923">
        <v>43664</v>
      </c>
      <c r="K39" s="838"/>
      <c r="L39" s="847">
        <f t="shared" si="8"/>
        <v>600094967</v>
      </c>
      <c r="M39" s="902"/>
    </row>
    <row r="40" spans="2:13">
      <c r="B40" s="923">
        <v>42966</v>
      </c>
      <c r="C40" s="838">
        <v>12065940</v>
      </c>
      <c r="D40" s="847">
        <f t="shared" si="6"/>
        <v>1217767677</v>
      </c>
      <c r="E40" s="902"/>
      <c r="F40" s="923">
        <v>43331</v>
      </c>
      <c r="G40" s="838">
        <v>12065940</v>
      </c>
      <c r="H40" s="847">
        <f t="shared" si="7"/>
        <v>902898352</v>
      </c>
      <c r="I40" s="902"/>
      <c r="J40" s="923">
        <v>43696</v>
      </c>
      <c r="K40" s="838">
        <v>12065940</v>
      </c>
      <c r="L40" s="847">
        <f t="shared" si="8"/>
        <v>588029027</v>
      </c>
      <c r="M40" s="902"/>
    </row>
    <row r="41" spans="2:13">
      <c r="B41" s="923">
        <v>42998</v>
      </c>
      <c r="C41" s="838"/>
      <c r="D41" s="847">
        <f t="shared" si="6"/>
        <v>1217767677</v>
      </c>
      <c r="E41" s="902">
        <f>ROUND((D40*0.11/365*92),0)</f>
        <v>33763860</v>
      </c>
      <c r="F41" s="923">
        <v>43363</v>
      </c>
      <c r="G41" s="838"/>
      <c r="H41" s="847">
        <f t="shared" si="7"/>
        <v>902898352</v>
      </c>
      <c r="I41" s="902">
        <f>ROUND((H40*0.11/365*92),0)</f>
        <v>25033784</v>
      </c>
      <c r="J41" s="923">
        <v>43728</v>
      </c>
      <c r="K41" s="838"/>
      <c r="L41" s="847">
        <f t="shared" si="8"/>
        <v>588029027</v>
      </c>
      <c r="M41" s="902">
        <f>ROUND((L40*0.11/365*92),0)</f>
        <v>16303709</v>
      </c>
    </row>
    <row r="42" spans="2:13">
      <c r="B42" s="923">
        <v>43030</v>
      </c>
      <c r="C42" s="838"/>
      <c r="D42" s="847">
        <f t="shared" si="6"/>
        <v>1217767677</v>
      </c>
      <c r="E42" s="902"/>
      <c r="F42" s="923">
        <v>43395</v>
      </c>
      <c r="G42" s="838"/>
      <c r="H42" s="847">
        <f t="shared" si="7"/>
        <v>902898352</v>
      </c>
      <c r="I42" s="902"/>
      <c r="J42" s="923">
        <v>43760</v>
      </c>
      <c r="K42" s="838"/>
      <c r="L42" s="847">
        <f t="shared" si="8"/>
        <v>588029027</v>
      </c>
      <c r="M42" s="902"/>
    </row>
    <row r="43" spans="2:13">
      <c r="B43" s="923">
        <v>43062</v>
      </c>
      <c r="C43" s="838"/>
      <c r="D43" s="847">
        <f t="shared" si="6"/>
        <v>1217767677</v>
      </c>
      <c r="E43" s="902"/>
      <c r="F43" s="923">
        <v>43427</v>
      </c>
      <c r="G43" s="838"/>
      <c r="H43" s="847">
        <f t="shared" si="7"/>
        <v>902898352</v>
      </c>
      <c r="I43" s="902"/>
      <c r="J43" s="923">
        <v>43792</v>
      </c>
      <c r="K43" s="838"/>
      <c r="L43" s="847">
        <f t="shared" si="8"/>
        <v>588029027</v>
      </c>
      <c r="M43" s="902"/>
    </row>
    <row r="44" spans="2:13">
      <c r="B44" s="923">
        <v>43094</v>
      </c>
      <c r="C44" s="838"/>
      <c r="D44" s="847">
        <f t="shared" si="6"/>
        <v>1217767677</v>
      </c>
      <c r="E44" s="902">
        <f>ROUND((D43*0.11/365*92),0)</f>
        <v>33763860</v>
      </c>
      <c r="F44" s="923">
        <v>43459</v>
      </c>
      <c r="G44" s="838"/>
      <c r="H44" s="847">
        <f t="shared" si="7"/>
        <v>902898352</v>
      </c>
      <c r="I44" s="902">
        <f>ROUND((H43*0.11/365*92),0)</f>
        <v>25033784</v>
      </c>
      <c r="J44" s="923">
        <v>43824</v>
      </c>
      <c r="K44" s="838"/>
      <c r="L44" s="847">
        <f t="shared" si="8"/>
        <v>588029027</v>
      </c>
      <c r="M44" s="902">
        <f>ROUND((L43*0.11/365*92),0)</f>
        <v>16303709</v>
      </c>
    </row>
    <row r="45" spans="2:13">
      <c r="B45" s="923">
        <v>43126</v>
      </c>
      <c r="C45" s="838"/>
      <c r="D45" s="847">
        <f t="shared" si="6"/>
        <v>1217767677</v>
      </c>
      <c r="E45" s="902"/>
      <c r="F45" s="923">
        <v>43491</v>
      </c>
      <c r="G45" s="838"/>
      <c r="H45" s="847">
        <f t="shared" si="7"/>
        <v>902898352</v>
      </c>
      <c r="I45" s="902"/>
      <c r="J45" s="923">
        <v>43856</v>
      </c>
      <c r="K45" s="838"/>
      <c r="L45" s="847">
        <f t="shared" si="8"/>
        <v>588029027</v>
      </c>
      <c r="M45" s="902"/>
    </row>
    <row r="46" spans="2:13">
      <c r="B46" s="923">
        <v>43158</v>
      </c>
      <c r="C46" s="838">
        <v>257146729</v>
      </c>
      <c r="D46" s="847">
        <f t="shared" si="6"/>
        <v>960620948</v>
      </c>
      <c r="E46" s="902"/>
      <c r="F46" s="923">
        <v>43523</v>
      </c>
      <c r="G46" s="838">
        <v>257146729</v>
      </c>
      <c r="H46" s="847">
        <f t="shared" si="7"/>
        <v>645751623</v>
      </c>
      <c r="I46" s="902"/>
      <c r="J46" s="923">
        <v>43888</v>
      </c>
      <c r="K46" s="838">
        <v>257146729</v>
      </c>
      <c r="L46" s="847">
        <f t="shared" si="8"/>
        <v>330882298</v>
      </c>
      <c r="M46" s="902"/>
    </row>
    <row r="47" spans="2:13">
      <c r="B47" s="923">
        <v>43190</v>
      </c>
      <c r="C47" s="838"/>
      <c r="D47" s="847">
        <f t="shared" si="6"/>
        <v>960620948</v>
      </c>
      <c r="E47" s="902">
        <f>ROUND((D46*0.11/365*90),0)</f>
        <v>26055198</v>
      </c>
      <c r="F47" s="923">
        <v>43555</v>
      </c>
      <c r="G47" s="838"/>
      <c r="H47" s="847">
        <f t="shared" si="7"/>
        <v>645751623</v>
      </c>
      <c r="I47" s="902">
        <f>ROUND((H46*0.11/365*90),0)</f>
        <v>17514907</v>
      </c>
      <c r="J47" s="923">
        <v>43920</v>
      </c>
      <c r="K47" s="838"/>
      <c r="L47" s="847">
        <f t="shared" si="8"/>
        <v>330882298</v>
      </c>
      <c r="M47" s="902">
        <f>ROUND((L46*0.11/365*90),0)</f>
        <v>8974616</v>
      </c>
    </row>
    <row r="48" spans="2:13">
      <c r="B48" s="924"/>
      <c r="C48" s="905">
        <f>SUM(C36:C47)</f>
        <v>314869325</v>
      </c>
      <c r="D48" s="2681">
        <f>SUM(E36:E47)</f>
        <v>128562802</v>
      </c>
      <c r="E48" s="2682"/>
      <c r="F48" s="924"/>
      <c r="G48" s="905">
        <f>SUM(G36:G47)</f>
        <v>314869325</v>
      </c>
      <c r="H48" s="905"/>
      <c r="I48" s="906">
        <f>SUM(I36:I47)</f>
        <v>93927176</v>
      </c>
      <c r="J48" s="924"/>
      <c r="K48" s="905">
        <f>SUM(K36:K47)</f>
        <v>314869325</v>
      </c>
      <c r="L48" s="905"/>
      <c r="M48" s="906">
        <f>SUM(M36:M47)</f>
        <v>59291551</v>
      </c>
    </row>
    <row r="49" spans="2:13" ht="21" customHeight="1">
      <c r="F49" s="925"/>
      <c r="H49" s="856"/>
    </row>
    <row r="50" spans="2:13">
      <c r="B50" s="918"/>
      <c r="C50" s="908" t="s">
        <v>1278</v>
      </c>
      <c r="D50" s="897">
        <v>3</v>
      </c>
      <c r="E50" s="898" t="s">
        <v>1895</v>
      </c>
      <c r="F50" s="918"/>
      <c r="G50" s="908" t="s">
        <v>1278</v>
      </c>
      <c r="H50" s="897">
        <v>3</v>
      </c>
      <c r="I50" s="898" t="s">
        <v>1895</v>
      </c>
      <c r="J50" s="918"/>
      <c r="K50" s="908" t="s">
        <v>1278</v>
      </c>
      <c r="L50" s="897">
        <v>3</v>
      </c>
      <c r="M50" s="898" t="s">
        <v>1895</v>
      </c>
    </row>
    <row r="51" spans="2:13">
      <c r="B51" s="919" t="s">
        <v>1898</v>
      </c>
      <c r="C51" s="838"/>
      <c r="D51" s="838">
        <f>L47</f>
        <v>330882298</v>
      </c>
      <c r="E51" s="900">
        <v>0.11</v>
      </c>
      <c r="F51" s="919" t="s">
        <v>1898</v>
      </c>
      <c r="G51" s="838"/>
      <c r="H51" s="838">
        <f>D63</f>
        <v>115445196</v>
      </c>
      <c r="I51" s="900">
        <v>0.11</v>
      </c>
      <c r="J51" s="919" t="s">
        <v>1898</v>
      </c>
      <c r="K51" s="838"/>
      <c r="L51" s="838">
        <f>H63</f>
        <v>57722600</v>
      </c>
      <c r="M51" s="900">
        <v>0.11</v>
      </c>
    </row>
    <row r="52" spans="2:13">
      <c r="B52" s="923">
        <v>43934</v>
      </c>
      <c r="C52" s="838"/>
      <c r="D52" s="847">
        <f t="shared" ref="D52:D63" si="9">D51-C52</f>
        <v>330882298</v>
      </c>
      <c r="E52" s="902"/>
      <c r="F52" s="923">
        <v>44299</v>
      </c>
      <c r="G52" s="838"/>
      <c r="H52" s="847">
        <f t="shared" ref="H52:H63" si="10">H51-G52</f>
        <v>115445196</v>
      </c>
      <c r="I52" s="902"/>
      <c r="J52" s="923">
        <v>44664</v>
      </c>
      <c r="K52" s="838"/>
      <c r="L52" s="847">
        <f t="shared" ref="L52:L63" si="11">L51-K52</f>
        <v>57722600</v>
      </c>
      <c r="M52" s="902"/>
    </row>
    <row r="53" spans="2:13">
      <c r="B53" s="923">
        <v>43966</v>
      </c>
      <c r="C53" s="838"/>
      <c r="D53" s="847">
        <f t="shared" si="9"/>
        <v>330882298</v>
      </c>
      <c r="E53" s="902"/>
      <c r="F53" s="923">
        <v>44331</v>
      </c>
      <c r="G53" s="838"/>
      <c r="H53" s="847">
        <f t="shared" si="10"/>
        <v>115445196</v>
      </c>
      <c r="I53" s="902"/>
      <c r="J53" s="923">
        <v>44696</v>
      </c>
      <c r="K53" s="838"/>
      <c r="L53" s="847">
        <f t="shared" si="11"/>
        <v>57722600</v>
      </c>
      <c r="M53" s="902"/>
    </row>
    <row r="54" spans="2:13">
      <c r="B54" s="923">
        <v>43998</v>
      </c>
      <c r="C54" s="838">
        <v>45656656</v>
      </c>
      <c r="D54" s="847">
        <f t="shared" si="9"/>
        <v>285225642</v>
      </c>
      <c r="E54" s="902">
        <f>ROUND((D53*0.11/365*91),0)</f>
        <v>9074334</v>
      </c>
      <c r="F54" s="923">
        <v>44363</v>
      </c>
      <c r="G54" s="838">
        <v>45656656</v>
      </c>
      <c r="H54" s="847">
        <f t="shared" si="10"/>
        <v>69788540</v>
      </c>
      <c r="I54" s="902">
        <f>ROUND((H53*0.11/365*91),0)</f>
        <v>3166045</v>
      </c>
      <c r="J54" s="923">
        <v>44728</v>
      </c>
      <c r="K54" s="838">
        <v>45656656</v>
      </c>
      <c r="L54" s="847">
        <f t="shared" si="11"/>
        <v>12065944</v>
      </c>
      <c r="M54" s="902">
        <f>ROUND((L53*0.11/365*91),0)</f>
        <v>1583023</v>
      </c>
    </row>
    <row r="55" spans="2:13">
      <c r="B55" s="923">
        <v>44030</v>
      </c>
      <c r="C55" s="838"/>
      <c r="D55" s="847">
        <f t="shared" si="9"/>
        <v>285225642</v>
      </c>
      <c r="E55" s="902"/>
      <c r="F55" s="923">
        <v>44395</v>
      </c>
      <c r="G55" s="838"/>
      <c r="H55" s="847">
        <f t="shared" si="10"/>
        <v>69788540</v>
      </c>
      <c r="I55" s="902"/>
      <c r="J55" s="923">
        <v>44760</v>
      </c>
      <c r="K55" s="838"/>
      <c r="L55" s="847">
        <f t="shared" si="11"/>
        <v>12065944</v>
      </c>
      <c r="M55" s="902"/>
    </row>
    <row r="56" spans="2:13">
      <c r="B56" s="923">
        <v>44062</v>
      </c>
      <c r="C56" s="838">
        <v>12065940</v>
      </c>
      <c r="D56" s="847">
        <f t="shared" si="9"/>
        <v>273159702</v>
      </c>
      <c r="E56" s="902"/>
      <c r="F56" s="923">
        <v>44427</v>
      </c>
      <c r="G56" s="838">
        <v>12065940</v>
      </c>
      <c r="H56" s="847">
        <f t="shared" si="10"/>
        <v>57722600</v>
      </c>
      <c r="I56" s="902"/>
      <c r="J56" s="923">
        <v>44792</v>
      </c>
      <c r="K56" s="838">
        <v>12065944</v>
      </c>
      <c r="L56" s="847">
        <f t="shared" si="11"/>
        <v>0</v>
      </c>
      <c r="M56" s="902"/>
    </row>
    <row r="57" spans="2:13">
      <c r="B57" s="923">
        <v>44094</v>
      </c>
      <c r="C57" s="838"/>
      <c r="D57" s="847">
        <f t="shared" si="9"/>
        <v>273159702</v>
      </c>
      <c r="E57" s="902">
        <f>ROUND((D56*0.11/365*92),0)</f>
        <v>7573633</v>
      </c>
      <c r="F57" s="923">
        <v>44459</v>
      </c>
      <c r="G57" s="838"/>
      <c r="H57" s="847">
        <f t="shared" si="10"/>
        <v>57722600</v>
      </c>
      <c r="I57" s="902">
        <f>ROUND((H56*0.11/365*92),0)</f>
        <v>1600418</v>
      </c>
      <c r="J57" s="923"/>
      <c r="K57" s="838"/>
      <c r="L57" s="847">
        <f t="shared" si="11"/>
        <v>0</v>
      </c>
      <c r="M57" s="902">
        <f>ROUND((L56*0.11/365*92),0)</f>
        <v>0</v>
      </c>
    </row>
    <row r="58" spans="2:13">
      <c r="B58" s="923">
        <v>44126</v>
      </c>
      <c r="C58" s="838"/>
      <c r="D58" s="847">
        <f t="shared" si="9"/>
        <v>273159702</v>
      </c>
      <c r="E58" s="902"/>
      <c r="F58" s="923">
        <v>44491</v>
      </c>
      <c r="G58" s="838"/>
      <c r="H58" s="847">
        <f t="shared" si="10"/>
        <v>57722600</v>
      </c>
      <c r="I58" s="902"/>
      <c r="J58" s="923"/>
      <c r="K58" s="838"/>
      <c r="L58" s="847">
        <f t="shared" si="11"/>
        <v>0</v>
      </c>
      <c r="M58" s="902"/>
    </row>
    <row r="59" spans="2:13">
      <c r="B59" s="923">
        <v>44158</v>
      </c>
      <c r="C59" s="838"/>
      <c r="D59" s="847">
        <f t="shared" si="9"/>
        <v>273159702</v>
      </c>
      <c r="E59" s="902"/>
      <c r="F59" s="923">
        <v>44523</v>
      </c>
      <c r="G59" s="838"/>
      <c r="H59" s="847">
        <f t="shared" si="10"/>
        <v>57722600</v>
      </c>
      <c r="I59" s="902"/>
      <c r="J59" s="923"/>
      <c r="K59" s="838"/>
      <c r="L59" s="847">
        <f t="shared" si="11"/>
        <v>0</v>
      </c>
      <c r="M59" s="902"/>
    </row>
    <row r="60" spans="2:13">
      <c r="B60" s="923">
        <v>44190</v>
      </c>
      <c r="C60" s="838"/>
      <c r="D60" s="847">
        <f t="shared" si="9"/>
        <v>273159702</v>
      </c>
      <c r="E60" s="902">
        <f>ROUND((D59*0.11/365*92),0)</f>
        <v>7573633</v>
      </c>
      <c r="F60" s="923">
        <v>44555</v>
      </c>
      <c r="G60" s="838"/>
      <c r="H60" s="847">
        <f t="shared" si="10"/>
        <v>57722600</v>
      </c>
      <c r="I60" s="902">
        <f>ROUND((H59*0.11/365*92),0)</f>
        <v>1600418</v>
      </c>
      <c r="J60" s="923"/>
      <c r="K60" s="838"/>
      <c r="L60" s="847">
        <f t="shared" si="11"/>
        <v>0</v>
      </c>
      <c r="M60" s="902">
        <f>ROUND((L59*0.11/365*92),0)</f>
        <v>0</v>
      </c>
    </row>
    <row r="61" spans="2:13">
      <c r="B61" s="923">
        <v>44222</v>
      </c>
      <c r="C61" s="838"/>
      <c r="D61" s="847">
        <f t="shared" si="9"/>
        <v>273159702</v>
      </c>
      <c r="E61" s="902"/>
      <c r="F61" s="923">
        <v>44587</v>
      </c>
      <c r="G61" s="838"/>
      <c r="H61" s="847">
        <f t="shared" si="10"/>
        <v>57722600</v>
      </c>
      <c r="I61" s="902"/>
      <c r="J61" s="923"/>
      <c r="K61" s="838"/>
      <c r="L61" s="847">
        <f t="shared" si="11"/>
        <v>0</v>
      </c>
      <c r="M61" s="902"/>
    </row>
    <row r="62" spans="2:13">
      <c r="B62" s="923">
        <v>44254</v>
      </c>
      <c r="C62" s="838">
        <v>157714506</v>
      </c>
      <c r="D62" s="847">
        <f t="shared" si="9"/>
        <v>115445196</v>
      </c>
      <c r="E62" s="902"/>
      <c r="F62" s="923">
        <v>44619</v>
      </c>
      <c r="G62" s="838">
        <v>0</v>
      </c>
      <c r="H62" s="847">
        <f t="shared" si="10"/>
        <v>57722600</v>
      </c>
      <c r="I62" s="902"/>
      <c r="J62" s="923"/>
      <c r="K62" s="838">
        <v>0</v>
      </c>
      <c r="L62" s="847">
        <f t="shared" si="11"/>
        <v>0</v>
      </c>
      <c r="M62" s="902"/>
    </row>
    <row r="63" spans="2:13">
      <c r="B63" s="923">
        <v>44286</v>
      </c>
      <c r="C63" s="838"/>
      <c r="D63" s="847">
        <f t="shared" si="9"/>
        <v>115445196</v>
      </c>
      <c r="E63" s="902">
        <f>ROUND((D62*0.11/365*90),0)</f>
        <v>3131253</v>
      </c>
      <c r="F63" s="923">
        <v>44651</v>
      </c>
      <c r="G63" s="838"/>
      <c r="H63" s="847">
        <f t="shared" si="10"/>
        <v>57722600</v>
      </c>
      <c r="I63" s="902">
        <f>ROUND((H62*0.11/365*90),0)</f>
        <v>1565627</v>
      </c>
      <c r="J63" s="923"/>
      <c r="K63" s="838"/>
      <c r="L63" s="847">
        <f t="shared" si="11"/>
        <v>0</v>
      </c>
      <c r="M63" s="902">
        <f>ROUND((L62*0.11/365*90),0)</f>
        <v>0</v>
      </c>
    </row>
    <row r="64" spans="2:13">
      <c r="B64" s="924"/>
      <c r="C64" s="905">
        <f>SUM(C52:C63)</f>
        <v>215437102</v>
      </c>
      <c r="D64" s="905"/>
      <c r="E64" s="906">
        <f>SUM(E52:E63)</f>
        <v>27352853</v>
      </c>
      <c r="F64" s="924"/>
      <c r="G64" s="905">
        <f>SUM(G52:G63)</f>
        <v>57722596</v>
      </c>
      <c r="H64" s="905"/>
      <c r="I64" s="906">
        <f>SUM(I52:I63)</f>
        <v>7932508</v>
      </c>
      <c r="J64" s="924"/>
      <c r="K64" s="905">
        <f>SUM(K52:K63)</f>
        <v>57722600</v>
      </c>
      <c r="L64" s="905"/>
      <c r="M64" s="906">
        <f>SUM(M52:M63)</f>
        <v>1583023</v>
      </c>
    </row>
    <row r="65" spans="3:8" ht="18.75" customHeight="1">
      <c r="F65" s="925"/>
      <c r="H65" s="856"/>
    </row>
    <row r="66" spans="3:8">
      <c r="C66" s="843"/>
      <c r="D66" s="844"/>
      <c r="E66" s="844"/>
      <c r="F66" s="926"/>
      <c r="G66" s="844"/>
      <c r="H66" s="845"/>
    </row>
    <row r="67" spans="3:8">
      <c r="C67" s="838"/>
      <c r="D67" s="838"/>
      <c r="E67" s="851"/>
      <c r="F67" s="927"/>
      <c r="G67" s="839"/>
      <c r="H67" s="853"/>
    </row>
    <row r="68" spans="3:8">
      <c r="C68" s="838"/>
      <c r="D68" s="847"/>
      <c r="E68" s="847"/>
      <c r="F68" s="925"/>
      <c r="G68" s="839"/>
      <c r="H68" s="857"/>
    </row>
    <row r="69" spans="3:8">
      <c r="C69" s="838"/>
      <c r="D69" s="847"/>
      <c r="E69" s="847"/>
      <c r="F69" s="925"/>
      <c r="G69" s="839"/>
      <c r="H69" s="857"/>
    </row>
    <row r="70" spans="3:8">
      <c r="C70" s="838"/>
      <c r="D70" s="847"/>
      <c r="E70" s="847"/>
      <c r="F70" s="925"/>
      <c r="G70" s="839"/>
      <c r="H70" s="857"/>
    </row>
    <row r="71" spans="3:8">
      <c r="C71" s="838"/>
      <c r="D71" s="847"/>
      <c r="E71" s="847"/>
      <c r="F71" s="925"/>
      <c r="G71" s="839"/>
      <c r="H71" s="857"/>
    </row>
    <row r="72" spans="3:8">
      <c r="C72" s="838"/>
      <c r="D72" s="847"/>
      <c r="E72" s="847"/>
      <c r="F72" s="925"/>
      <c r="G72" s="839"/>
      <c r="H72" s="857"/>
    </row>
    <row r="73" spans="3:8">
      <c r="C73" s="838"/>
      <c r="D73" s="847"/>
      <c r="E73" s="847"/>
      <c r="F73" s="925"/>
      <c r="G73" s="839"/>
      <c r="H73" s="857"/>
    </row>
    <row r="74" spans="3:8">
      <c r="C74" s="838"/>
      <c r="D74" s="847"/>
      <c r="E74" s="847"/>
      <c r="F74" s="925"/>
      <c r="G74" s="839"/>
      <c r="H74" s="857"/>
    </row>
    <row r="75" spans="3:8">
      <c r="C75" s="838"/>
      <c r="D75" s="847"/>
      <c r="E75" s="847"/>
      <c r="F75" s="925"/>
      <c r="G75" s="839"/>
      <c r="H75" s="857"/>
    </row>
    <row r="76" spans="3:8">
      <c r="C76" s="838"/>
      <c r="D76" s="847"/>
      <c r="E76" s="847"/>
      <c r="F76" s="925"/>
      <c r="G76" s="839"/>
      <c r="H76" s="857"/>
    </row>
    <row r="77" spans="3:8">
      <c r="C77" s="838"/>
      <c r="D77" s="847"/>
      <c r="E77" s="847"/>
      <c r="F77" s="925"/>
      <c r="G77" s="839"/>
      <c r="H77" s="857"/>
    </row>
    <row r="78" spans="3:8">
      <c r="C78" s="838"/>
      <c r="D78" s="847"/>
      <c r="E78" s="847"/>
      <c r="F78" s="925"/>
      <c r="G78" s="839"/>
      <c r="H78" s="857"/>
    </row>
    <row r="79" spans="3:8">
      <c r="C79" s="838"/>
      <c r="D79" s="847"/>
      <c r="E79" s="847"/>
      <c r="F79" s="925"/>
      <c r="G79" s="839"/>
      <c r="H79" s="857"/>
    </row>
    <row r="80" spans="3:8">
      <c r="C80" s="866"/>
      <c r="D80" s="866"/>
      <c r="E80" s="866"/>
      <c r="F80" s="928"/>
      <c r="G80" s="873"/>
      <c r="H80" s="857"/>
    </row>
    <row r="81" spans="3:8" ht="18" customHeight="1">
      <c r="F81" s="925"/>
      <c r="H81" s="856"/>
    </row>
    <row r="82" spans="3:8">
      <c r="C82" s="843"/>
      <c r="D82" s="844"/>
      <c r="E82" s="844"/>
      <c r="F82" s="926"/>
      <c r="G82" s="844"/>
      <c r="H82" s="845"/>
    </row>
    <row r="83" spans="3:8">
      <c r="C83" s="838"/>
      <c r="D83" s="838"/>
      <c r="E83" s="851"/>
      <c r="F83" s="927"/>
      <c r="G83" s="839"/>
      <c r="H83" s="853"/>
    </row>
    <row r="84" spans="3:8">
      <c r="C84" s="838"/>
      <c r="D84" s="847"/>
      <c r="E84" s="847"/>
      <c r="F84" s="925"/>
      <c r="G84" s="839"/>
      <c r="H84" s="857"/>
    </row>
    <row r="85" spans="3:8">
      <c r="C85" s="838"/>
      <c r="D85" s="847"/>
      <c r="E85" s="847"/>
      <c r="F85" s="925"/>
      <c r="G85" s="839"/>
      <c r="H85" s="857"/>
    </row>
    <row r="86" spans="3:8">
      <c r="C86" s="838"/>
      <c r="D86" s="847"/>
      <c r="E86" s="847"/>
      <c r="F86" s="925"/>
      <c r="G86" s="839"/>
      <c r="H86" s="857"/>
    </row>
    <row r="87" spans="3:8">
      <c r="C87" s="838"/>
      <c r="D87" s="847"/>
      <c r="E87" s="847"/>
      <c r="F87" s="925"/>
      <c r="G87" s="839"/>
      <c r="H87" s="857"/>
    </row>
    <row r="88" spans="3:8">
      <c r="C88" s="838"/>
      <c r="D88" s="847"/>
      <c r="E88" s="847"/>
      <c r="F88" s="925"/>
      <c r="G88" s="839"/>
      <c r="H88" s="857"/>
    </row>
    <row r="89" spans="3:8">
      <c r="C89" s="838"/>
      <c r="D89" s="847"/>
      <c r="E89" s="847"/>
      <c r="F89" s="925"/>
      <c r="G89" s="839"/>
      <c r="H89" s="857"/>
    </row>
    <row r="90" spans="3:8">
      <c r="C90" s="838"/>
      <c r="D90" s="847"/>
      <c r="E90" s="847"/>
      <c r="F90" s="925"/>
      <c r="G90" s="839"/>
      <c r="H90" s="857"/>
    </row>
    <row r="91" spans="3:8">
      <c r="C91" s="838"/>
      <c r="D91" s="847"/>
      <c r="E91" s="847"/>
      <c r="F91" s="925"/>
      <c r="G91" s="839"/>
      <c r="H91" s="857"/>
    </row>
    <row r="92" spans="3:8">
      <c r="C92" s="838"/>
      <c r="D92" s="847"/>
      <c r="E92" s="847"/>
      <c r="F92" s="925"/>
      <c r="G92" s="839"/>
      <c r="H92" s="857"/>
    </row>
    <row r="93" spans="3:8">
      <c r="C93" s="838"/>
      <c r="D93" s="847"/>
      <c r="E93" s="847"/>
      <c r="F93" s="925"/>
      <c r="G93" s="839"/>
      <c r="H93" s="857"/>
    </row>
    <row r="94" spans="3:8">
      <c r="C94" s="838"/>
      <c r="D94" s="847"/>
      <c r="E94" s="847"/>
      <c r="F94" s="925"/>
      <c r="G94" s="839"/>
      <c r="H94" s="857"/>
    </row>
    <row r="95" spans="3:8">
      <c r="C95" s="838"/>
      <c r="D95" s="847"/>
      <c r="E95" s="847"/>
      <c r="F95" s="925"/>
      <c r="G95" s="839"/>
      <c r="H95" s="857"/>
    </row>
    <row r="96" spans="3:8">
      <c r="C96" s="866"/>
      <c r="D96" s="866"/>
      <c r="E96" s="866"/>
      <c r="F96" s="928"/>
      <c r="G96" s="873"/>
      <c r="H96" s="857"/>
    </row>
    <row r="97" spans="2:10" ht="18.75" customHeight="1">
      <c r="F97" s="925"/>
      <c r="H97" s="856"/>
    </row>
    <row r="98" spans="2:10">
      <c r="C98" s="843"/>
      <c r="D98" s="844"/>
      <c r="E98" s="844"/>
      <c r="F98" s="926"/>
      <c r="G98" s="844"/>
      <c r="H98" s="845"/>
    </row>
    <row r="99" spans="2:10">
      <c r="C99" s="838"/>
      <c r="D99" s="838"/>
      <c r="E99" s="851"/>
      <c r="F99" s="927"/>
      <c r="G99" s="839"/>
      <c r="H99" s="853"/>
    </row>
    <row r="100" spans="2:10">
      <c r="C100" s="838"/>
      <c r="D100" s="847"/>
      <c r="E100" s="847"/>
      <c r="F100" s="925"/>
      <c r="G100" s="839"/>
      <c r="H100" s="857"/>
    </row>
    <row r="101" spans="2:10">
      <c r="C101" s="838"/>
      <c r="D101" s="847"/>
      <c r="E101" s="847"/>
      <c r="F101" s="925"/>
      <c r="G101" s="839"/>
      <c r="H101" s="857"/>
    </row>
    <row r="102" spans="2:10">
      <c r="C102" s="838"/>
      <c r="D102" s="847"/>
      <c r="E102" s="847"/>
      <c r="F102" s="925"/>
      <c r="G102" s="839"/>
      <c r="H102" s="857"/>
    </row>
    <row r="103" spans="2:10">
      <c r="C103" s="838"/>
      <c r="D103" s="847"/>
      <c r="E103" s="847"/>
      <c r="F103" s="925"/>
      <c r="G103" s="839"/>
      <c r="H103" s="857"/>
    </row>
    <row r="104" spans="2:10">
      <c r="C104" s="838"/>
      <c r="D104" s="847"/>
      <c r="E104" s="847"/>
      <c r="F104" s="925"/>
      <c r="G104" s="839"/>
      <c r="H104" s="857"/>
    </row>
    <row r="105" spans="2:10">
      <c r="C105" s="838"/>
      <c r="D105" s="847"/>
      <c r="E105" s="847"/>
      <c r="F105" s="925"/>
      <c r="G105" s="839"/>
      <c r="H105" s="857"/>
    </row>
    <row r="106" spans="2:10">
      <c r="C106" s="838"/>
      <c r="D106" s="847"/>
      <c r="E106" s="847"/>
      <c r="F106" s="925"/>
      <c r="G106" s="839"/>
      <c r="H106" s="857"/>
    </row>
    <row r="107" spans="2:10">
      <c r="C107" s="838"/>
      <c r="D107" s="847"/>
      <c r="E107" s="847"/>
      <c r="F107" s="925"/>
      <c r="G107" s="839"/>
      <c r="H107" s="857"/>
    </row>
    <row r="108" spans="2:10">
      <c r="C108" s="838"/>
      <c r="D108" s="847"/>
      <c r="E108" s="847"/>
      <c r="F108" s="925"/>
      <c r="G108" s="839"/>
      <c r="H108" s="857"/>
    </row>
    <row r="109" spans="2:10">
      <c r="C109" s="838"/>
      <c r="D109" s="847"/>
      <c r="E109" s="847"/>
      <c r="F109" s="925"/>
      <c r="G109" s="839"/>
      <c r="H109" s="857"/>
    </row>
    <row r="110" spans="2:10" s="892" customFormat="1" ht="12.75" customHeight="1">
      <c r="B110" s="917"/>
      <c r="C110" s="881"/>
      <c r="D110" s="878"/>
      <c r="E110" s="879"/>
      <c r="F110" s="925"/>
      <c r="G110" s="882"/>
      <c r="H110" s="890"/>
      <c r="I110" s="891"/>
      <c r="J110" s="917"/>
    </row>
    <row r="111" spans="2:10" s="892" customFormat="1" ht="11.25" customHeight="1">
      <c r="B111" s="917"/>
      <c r="C111" s="881"/>
      <c r="D111" s="879"/>
      <c r="E111" s="879"/>
      <c r="F111" s="925"/>
      <c r="G111" s="882"/>
      <c r="H111" s="890"/>
      <c r="I111" s="891"/>
      <c r="J111" s="917"/>
    </row>
    <row r="112" spans="2:10">
      <c r="C112" s="866"/>
      <c r="D112" s="866"/>
      <c r="E112" s="866"/>
      <c r="F112" s="928"/>
      <c r="G112" s="873"/>
      <c r="H112" s="893"/>
    </row>
    <row r="113" spans="5:7">
      <c r="F113" s="927"/>
    </row>
    <row r="114" spans="5:7" ht="15">
      <c r="E114" s="868"/>
      <c r="F114" s="2680"/>
      <c r="G114" s="2680"/>
    </row>
  </sheetData>
  <mergeCells count="8">
    <mergeCell ref="D48:E48"/>
    <mergeCell ref="F114:G114"/>
    <mergeCell ref="D16:E16"/>
    <mergeCell ref="H16:I16"/>
    <mergeCell ref="L16:M16"/>
    <mergeCell ref="D32:E32"/>
    <mergeCell ref="H32:I32"/>
    <mergeCell ref="L32:M32"/>
  </mergeCells>
  <printOptions gridLines="1"/>
  <pageMargins left="0" right="0" top="0.49803149600000002" bottom="0.49803149600000002" header="0.31496062992126" footer="0.31496062992126"/>
  <pageSetup paperSize="9" scale="9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S54"/>
  <sheetViews>
    <sheetView workbookViewId="0">
      <pane xSplit="5" ySplit="2" topLeftCell="K3" activePane="bottomRight" state="frozen"/>
      <selection pane="topRight" activeCell="D1" sqref="D1"/>
      <selection pane="bottomLeft" activeCell="A2" sqref="A2"/>
      <selection pane="bottomRight" activeCell="Q41" sqref="Q41"/>
    </sheetView>
  </sheetViews>
  <sheetFormatPr defaultColWidth="11.28515625" defaultRowHeight="21.95" customHeight="1"/>
  <cols>
    <col min="1" max="1" width="11.28515625" style="1048"/>
    <col min="2" max="2" width="10.140625" style="1048" customWidth="1"/>
    <col min="3" max="3" width="16.28515625" style="1071" customWidth="1"/>
    <col min="4" max="4" width="10.85546875" style="1048" customWidth="1"/>
    <col min="5" max="5" width="13.28515625" style="1048" customWidth="1"/>
    <col min="6" max="6" width="7.85546875" style="1048" customWidth="1"/>
    <col min="7" max="7" width="9.28515625" style="1048" customWidth="1"/>
    <col min="8" max="8" width="11.28515625" style="1048" customWidth="1"/>
    <col min="9" max="9" width="13" style="1048" customWidth="1"/>
    <col min="10" max="10" width="16.28515625" style="1048" customWidth="1"/>
    <col min="11" max="11" width="1.28515625" style="1048" customWidth="1"/>
    <col min="12" max="12" width="14.7109375" style="1048" customWidth="1"/>
    <col min="13" max="13" width="1.28515625" style="1049" customWidth="1"/>
    <col min="14" max="14" width="1.7109375" style="1048" customWidth="1"/>
    <col min="15" max="17" width="14.7109375" style="1050" customWidth="1"/>
    <col min="18" max="18" width="12.28515625" style="1048" customWidth="1"/>
    <col min="19" max="19" width="12" style="1048" customWidth="1"/>
    <col min="20" max="16384" width="11.28515625" style="1048"/>
  </cols>
  <sheetData>
    <row r="1" spans="1:19" ht="21.95" customHeight="1">
      <c r="E1" s="2683" t="s">
        <v>2196</v>
      </c>
      <c r="F1" s="2683"/>
      <c r="G1" s="2683"/>
      <c r="H1" s="2683"/>
      <c r="I1" s="2683"/>
      <c r="P1" s="1050">
        <v>2</v>
      </c>
    </row>
    <row r="2" spans="1:19" s="1071" customFormat="1" ht="51.75" customHeight="1">
      <c r="A2" s="1071" t="s">
        <v>2163</v>
      </c>
      <c r="B2" s="1074" t="s">
        <v>2070</v>
      </c>
      <c r="C2" s="1074" t="s">
        <v>2071</v>
      </c>
      <c r="D2" s="1074" t="s">
        <v>2072</v>
      </c>
      <c r="E2" s="1074" t="s">
        <v>2073</v>
      </c>
      <c r="F2" s="1074" t="s">
        <v>2074</v>
      </c>
      <c r="G2" s="1074" t="s">
        <v>2075</v>
      </c>
      <c r="H2" s="1074" t="s">
        <v>2076</v>
      </c>
      <c r="I2" s="1074" t="s">
        <v>2077</v>
      </c>
      <c r="J2" s="1074" t="s">
        <v>2078</v>
      </c>
      <c r="K2" s="1074" t="s">
        <v>2197</v>
      </c>
      <c r="L2" s="1074" t="s">
        <v>2080</v>
      </c>
      <c r="M2" s="1073" t="s">
        <v>2198</v>
      </c>
      <c r="N2" s="1074" t="s">
        <v>2199</v>
      </c>
      <c r="O2" s="1075" t="s">
        <v>2166</v>
      </c>
      <c r="P2" s="1075" t="s">
        <v>1278</v>
      </c>
      <c r="Q2" s="1075" t="s">
        <v>2200</v>
      </c>
      <c r="R2" s="1074" t="s">
        <v>2169</v>
      </c>
      <c r="S2" s="1074" t="s">
        <v>2201</v>
      </c>
    </row>
    <row r="3" spans="1:19" ht="32.25" customHeight="1">
      <c r="A3" s="1048">
        <v>1</v>
      </c>
      <c r="B3" s="1080">
        <v>161240</v>
      </c>
      <c r="C3" s="1074" t="s">
        <v>2171</v>
      </c>
      <c r="D3" s="1082" t="s">
        <v>2090</v>
      </c>
      <c r="E3" s="1082" t="s">
        <v>2090</v>
      </c>
      <c r="F3" s="1082">
        <v>156</v>
      </c>
      <c r="G3" s="1082">
        <v>36</v>
      </c>
      <c r="H3" s="1083">
        <v>41189600</v>
      </c>
      <c r="I3" s="1082" t="s">
        <v>2202</v>
      </c>
      <c r="J3" s="1082">
        <v>4119000</v>
      </c>
      <c r="K3" s="1082">
        <v>3192225</v>
      </c>
      <c r="L3" s="1082">
        <v>102975</v>
      </c>
      <c r="M3" s="1084"/>
      <c r="N3" s="1082">
        <f t="shared" ref="N3:N8" si="0">L3*4</f>
        <v>411900</v>
      </c>
      <c r="O3" s="1089">
        <f t="shared" ref="O3:O8" si="1">K3-N3</f>
        <v>2780325</v>
      </c>
      <c r="P3" s="1089">
        <f t="shared" ref="P3:P8" si="2">L3*$P$1</f>
        <v>205950</v>
      </c>
      <c r="Q3" s="1089">
        <f>O3-P3</f>
        <v>2574375</v>
      </c>
      <c r="R3" s="1082" t="s">
        <v>2131</v>
      </c>
      <c r="S3" s="1082">
        <v>8</v>
      </c>
    </row>
    <row r="4" spans="1:19" ht="21.95" customHeight="1">
      <c r="B4" s="1083">
        <v>161240</v>
      </c>
      <c r="C4" s="1074"/>
      <c r="D4" s="1082" t="s">
        <v>2090</v>
      </c>
      <c r="E4" s="1082" t="s">
        <v>2090</v>
      </c>
      <c r="F4" s="1082">
        <v>156</v>
      </c>
      <c r="G4" s="1082">
        <v>36</v>
      </c>
      <c r="H4" s="1083"/>
      <c r="I4" s="1082" t="s">
        <v>2183</v>
      </c>
      <c r="J4" s="1082">
        <v>37070600</v>
      </c>
      <c r="K4" s="1082">
        <v>28729715</v>
      </c>
      <c r="L4" s="1082">
        <v>926765</v>
      </c>
      <c r="M4" s="1084"/>
      <c r="N4" s="1082">
        <f t="shared" si="0"/>
        <v>3707060</v>
      </c>
      <c r="O4" s="1089">
        <f t="shared" si="1"/>
        <v>25022655</v>
      </c>
      <c r="P4" s="1089">
        <f t="shared" si="2"/>
        <v>1853530</v>
      </c>
      <c r="Q4" s="1089">
        <f t="shared" ref="Q4:Q47" si="3">O4-P4</f>
        <v>23169125</v>
      </c>
      <c r="R4" s="1082" t="s">
        <v>2131</v>
      </c>
      <c r="S4" s="1082">
        <v>8</v>
      </c>
    </row>
    <row r="5" spans="1:19" ht="21.95" customHeight="1">
      <c r="B5" s="1083"/>
      <c r="C5" s="1074"/>
      <c r="D5" s="1082"/>
      <c r="E5" s="1082"/>
      <c r="F5" s="1082"/>
      <c r="G5" s="1082" t="s">
        <v>426</v>
      </c>
      <c r="H5" s="1083"/>
      <c r="I5" s="1082"/>
      <c r="J5" s="1083">
        <f>SUM(J3:J4)</f>
        <v>41189600</v>
      </c>
      <c r="K5" s="1083">
        <f>SUM(K3:K4)</f>
        <v>31921940</v>
      </c>
      <c r="L5" s="1083">
        <f>SUM(L3:L4)</f>
        <v>1029740</v>
      </c>
      <c r="M5" s="1088"/>
      <c r="N5" s="1083">
        <f t="shared" si="0"/>
        <v>4118960</v>
      </c>
      <c r="O5" s="1089">
        <f t="shared" si="1"/>
        <v>27802980</v>
      </c>
      <c r="P5" s="1089">
        <f t="shared" si="2"/>
        <v>2059480</v>
      </c>
      <c r="Q5" s="1089">
        <f t="shared" si="3"/>
        <v>25743500</v>
      </c>
      <c r="R5" s="1082"/>
      <c r="S5" s="1082"/>
    </row>
    <row r="6" spans="1:19" ht="33" customHeight="1">
      <c r="A6" s="1048">
        <v>2</v>
      </c>
      <c r="B6" s="1080">
        <v>161241</v>
      </c>
      <c r="C6" s="1074" t="s">
        <v>2171</v>
      </c>
      <c r="D6" s="1082" t="s">
        <v>2090</v>
      </c>
      <c r="E6" s="1082" t="s">
        <v>2090</v>
      </c>
      <c r="F6" s="1082">
        <v>156</v>
      </c>
      <c r="G6" s="1082">
        <v>36</v>
      </c>
      <c r="H6" s="1083">
        <v>41189600</v>
      </c>
      <c r="I6" s="1082" t="s">
        <v>2202</v>
      </c>
      <c r="J6" s="1082">
        <v>4119000</v>
      </c>
      <c r="K6" s="1082">
        <v>3192225</v>
      </c>
      <c r="L6" s="1082">
        <v>102975</v>
      </c>
      <c r="M6" s="1084"/>
      <c r="N6" s="1082">
        <f t="shared" si="0"/>
        <v>411900</v>
      </c>
      <c r="O6" s="1089">
        <f t="shared" si="1"/>
        <v>2780325</v>
      </c>
      <c r="P6" s="1089">
        <f t="shared" si="2"/>
        <v>205950</v>
      </c>
      <c r="Q6" s="1089">
        <f t="shared" si="3"/>
        <v>2574375</v>
      </c>
      <c r="R6" s="1082" t="s">
        <v>2131</v>
      </c>
      <c r="S6" s="1082">
        <v>8</v>
      </c>
    </row>
    <row r="7" spans="1:19" ht="21.95" customHeight="1">
      <c r="B7" s="1083">
        <v>161241</v>
      </c>
      <c r="C7" s="1074"/>
      <c r="D7" s="1082" t="s">
        <v>2090</v>
      </c>
      <c r="E7" s="1082" t="s">
        <v>2090</v>
      </c>
      <c r="F7" s="1082">
        <v>156</v>
      </c>
      <c r="G7" s="1082">
        <v>36</v>
      </c>
      <c r="H7" s="1083"/>
      <c r="I7" s="1082" t="s">
        <v>2203</v>
      </c>
      <c r="J7" s="1082">
        <v>37070600</v>
      </c>
      <c r="K7" s="1082">
        <v>28729715</v>
      </c>
      <c r="L7" s="1082">
        <v>926765</v>
      </c>
      <c r="M7" s="1084"/>
      <c r="N7" s="1082">
        <f t="shared" si="0"/>
        <v>3707060</v>
      </c>
      <c r="O7" s="1089">
        <f t="shared" si="1"/>
        <v>25022655</v>
      </c>
      <c r="P7" s="1089">
        <f t="shared" si="2"/>
        <v>1853530</v>
      </c>
      <c r="Q7" s="1089">
        <f t="shared" si="3"/>
        <v>23169125</v>
      </c>
      <c r="R7" s="1082" t="s">
        <v>2131</v>
      </c>
      <c r="S7" s="1082">
        <v>8</v>
      </c>
    </row>
    <row r="8" spans="1:19" ht="21.95" customHeight="1">
      <c r="B8" s="1083"/>
      <c r="C8" s="1074"/>
      <c r="D8" s="1082"/>
      <c r="E8" s="1082"/>
      <c r="F8" s="1082"/>
      <c r="G8" s="1082"/>
      <c r="H8" s="1083"/>
      <c r="I8" s="1082"/>
      <c r="J8" s="1083">
        <f>SUM(J6:J7)</f>
        <v>41189600</v>
      </c>
      <c r="K8" s="1083">
        <f>SUM(K6:K7)</f>
        <v>31921940</v>
      </c>
      <c r="L8" s="1083">
        <f>SUM(L6:L7)</f>
        <v>1029740</v>
      </c>
      <c r="M8" s="1088"/>
      <c r="N8" s="1083">
        <f t="shared" si="0"/>
        <v>4118960</v>
      </c>
      <c r="O8" s="1089">
        <f t="shared" si="1"/>
        <v>27802980</v>
      </c>
      <c r="P8" s="1089">
        <f t="shared" si="2"/>
        <v>2059480</v>
      </c>
      <c r="Q8" s="1089">
        <f t="shared" si="3"/>
        <v>25743500</v>
      </c>
      <c r="R8" s="1082"/>
      <c r="S8" s="1082"/>
    </row>
    <row r="9" spans="1:19" ht="30.75" customHeight="1">
      <c r="A9" s="1048">
        <v>3</v>
      </c>
      <c r="B9" s="1080">
        <v>161264</v>
      </c>
      <c r="C9" s="1081" t="s">
        <v>2171</v>
      </c>
      <c r="D9" s="1082" t="s">
        <v>2090</v>
      </c>
      <c r="E9" s="1082" t="s">
        <v>2090</v>
      </c>
      <c r="F9" s="1082">
        <v>156</v>
      </c>
      <c r="G9" s="1082">
        <v>36</v>
      </c>
      <c r="H9" s="1083">
        <v>67150300</v>
      </c>
      <c r="I9" s="1082" t="s">
        <v>2202</v>
      </c>
      <c r="J9" s="1082">
        <v>6715000</v>
      </c>
      <c r="K9" s="1082">
        <v>5204125</v>
      </c>
      <c r="L9" s="1082">
        <v>167875</v>
      </c>
      <c r="M9" s="1084"/>
      <c r="N9" s="1082">
        <f>L9*4</f>
        <v>671500</v>
      </c>
      <c r="O9" s="1089">
        <f>K9-N9</f>
        <v>4532625</v>
      </c>
      <c r="P9" s="1089">
        <f>L9*$P$1</f>
        <v>335750</v>
      </c>
      <c r="Q9" s="1089">
        <f t="shared" si="3"/>
        <v>4196875</v>
      </c>
      <c r="R9" s="1082" t="s">
        <v>2131</v>
      </c>
      <c r="S9" s="1082">
        <v>8</v>
      </c>
    </row>
    <row r="10" spans="1:19" ht="21.95" customHeight="1">
      <c r="B10" s="1083">
        <v>161264</v>
      </c>
      <c r="C10" s="1074"/>
      <c r="D10" s="1082" t="s">
        <v>2090</v>
      </c>
      <c r="E10" s="1082" t="s">
        <v>2090</v>
      </c>
      <c r="F10" s="1082">
        <v>156</v>
      </c>
      <c r="G10" s="1082">
        <v>36</v>
      </c>
      <c r="H10" s="1083"/>
      <c r="I10" s="1082" t="s">
        <v>2204</v>
      </c>
      <c r="J10" s="1082">
        <v>896800</v>
      </c>
      <c r="K10" s="1082">
        <v>695020</v>
      </c>
      <c r="L10" s="1082">
        <v>22420</v>
      </c>
      <c r="M10" s="1084"/>
      <c r="N10" s="1082">
        <f>L10*4</f>
        <v>89680</v>
      </c>
      <c r="O10" s="1089">
        <f>K10-N10</f>
        <v>605340</v>
      </c>
      <c r="P10" s="1089">
        <f t="shared" ref="P10:P47" si="4">L10*$P$1</f>
        <v>44840</v>
      </c>
      <c r="Q10" s="1089">
        <f t="shared" si="3"/>
        <v>560500</v>
      </c>
      <c r="R10" s="1082" t="s">
        <v>2131</v>
      </c>
      <c r="S10" s="1082">
        <v>12.75</v>
      </c>
    </row>
    <row r="11" spans="1:19" ht="21.95" customHeight="1">
      <c r="B11" s="1083">
        <v>161264</v>
      </c>
      <c r="C11" s="1074"/>
      <c r="D11" s="1082" t="s">
        <v>2090</v>
      </c>
      <c r="E11" s="1082" t="s">
        <v>2090</v>
      </c>
      <c r="F11" s="1082">
        <v>156</v>
      </c>
      <c r="G11" s="1082">
        <v>36</v>
      </c>
      <c r="H11" s="1083"/>
      <c r="I11" s="1082" t="s">
        <v>2205</v>
      </c>
      <c r="J11" s="1082">
        <v>59439300</v>
      </c>
      <c r="K11" s="1082">
        <v>46065453</v>
      </c>
      <c r="L11" s="1082">
        <v>1485983</v>
      </c>
      <c r="M11" s="1084"/>
      <c r="N11" s="1082">
        <f>L11*4</f>
        <v>5943932</v>
      </c>
      <c r="O11" s="1089">
        <f>K11-N11</f>
        <v>40121521</v>
      </c>
      <c r="P11" s="1089">
        <f t="shared" si="4"/>
        <v>2971966</v>
      </c>
      <c r="Q11" s="1089">
        <f t="shared" si="3"/>
        <v>37149555</v>
      </c>
      <c r="R11" s="1082" t="s">
        <v>2131</v>
      </c>
      <c r="S11" s="1082">
        <v>12.75</v>
      </c>
    </row>
    <row r="12" spans="1:19" ht="21.95" customHeight="1">
      <c r="B12" s="1083"/>
      <c r="C12" s="1074"/>
      <c r="D12" s="1082"/>
      <c r="E12" s="1082"/>
      <c r="F12" s="1082"/>
      <c r="G12" s="1082"/>
      <c r="H12" s="1083"/>
      <c r="I12" s="1082"/>
      <c r="J12" s="1083">
        <f>SUM(J9:J11)</f>
        <v>67051100</v>
      </c>
      <c r="K12" s="1083">
        <f>SUM(K9:K11)</f>
        <v>51964598</v>
      </c>
      <c r="L12" s="1083">
        <f>SUM(L9:L11)</f>
        <v>1676278</v>
      </c>
      <c r="M12" s="1088"/>
      <c r="N12" s="1083">
        <f>L12*4</f>
        <v>6705112</v>
      </c>
      <c r="O12" s="1089">
        <f>K12-N12</f>
        <v>45259486</v>
      </c>
      <c r="P12" s="1089">
        <f t="shared" si="4"/>
        <v>3352556</v>
      </c>
      <c r="Q12" s="1089">
        <f t="shared" si="3"/>
        <v>41906930</v>
      </c>
      <c r="R12" s="1082"/>
      <c r="S12" s="1082"/>
    </row>
    <row r="13" spans="1:19" ht="42.75" customHeight="1">
      <c r="A13" s="1048">
        <v>4</v>
      </c>
      <c r="B13" s="1080">
        <v>161265</v>
      </c>
      <c r="C13" s="1081" t="s">
        <v>2206</v>
      </c>
      <c r="D13" s="1082" t="s">
        <v>2090</v>
      </c>
      <c r="E13" s="1082" t="s">
        <v>2090</v>
      </c>
      <c r="F13" s="1082">
        <v>84</v>
      </c>
      <c r="G13" s="1082">
        <v>24</v>
      </c>
      <c r="H13" s="1083">
        <v>152795000</v>
      </c>
      <c r="I13" s="1082" t="s">
        <v>2202</v>
      </c>
      <c r="J13" s="1082">
        <v>30559000</v>
      </c>
      <c r="K13" s="1082">
        <v>10695650</v>
      </c>
      <c r="L13" s="1082">
        <v>1527950</v>
      </c>
      <c r="M13" s="1084"/>
      <c r="N13" s="1082">
        <f>L13*4</f>
        <v>6111800</v>
      </c>
      <c r="O13" s="1089">
        <f>K13-N13</f>
        <v>4583850</v>
      </c>
      <c r="P13" s="1089">
        <f t="shared" si="4"/>
        <v>3055900</v>
      </c>
      <c r="Q13" s="1089">
        <f t="shared" si="3"/>
        <v>1527950</v>
      </c>
      <c r="R13" s="1082" t="s">
        <v>2207</v>
      </c>
      <c r="S13" s="1082">
        <v>8</v>
      </c>
    </row>
    <row r="14" spans="1:19" ht="21.95" customHeight="1">
      <c r="B14" s="1083">
        <v>161265</v>
      </c>
      <c r="C14" s="1074"/>
      <c r="D14" s="1082" t="s">
        <v>2090</v>
      </c>
      <c r="E14" s="1082" t="s">
        <v>2090</v>
      </c>
      <c r="F14" s="1082">
        <v>84</v>
      </c>
      <c r="G14" s="1082">
        <v>24</v>
      </c>
      <c r="H14" s="1083"/>
      <c r="I14" s="1082" t="s">
        <v>2208</v>
      </c>
      <c r="J14" s="1082">
        <v>23039080</v>
      </c>
      <c r="K14" s="1082">
        <v>8063678</v>
      </c>
      <c r="L14" s="1082">
        <v>1151954</v>
      </c>
      <c r="M14" s="1084"/>
      <c r="N14" s="1082">
        <f t="shared" ref="N14:N29" si="5">L14*4</f>
        <v>4607816</v>
      </c>
      <c r="O14" s="1089">
        <f t="shared" ref="O14:O29" si="6">K14-N14</f>
        <v>3455862</v>
      </c>
      <c r="P14" s="1089">
        <f t="shared" si="4"/>
        <v>2303908</v>
      </c>
      <c r="Q14" s="1089">
        <f t="shared" si="3"/>
        <v>1151954</v>
      </c>
      <c r="R14" s="1082" t="s">
        <v>2207</v>
      </c>
      <c r="S14" s="1082">
        <v>11.5</v>
      </c>
    </row>
    <row r="15" spans="1:19" ht="21.95" customHeight="1">
      <c r="B15" s="1083">
        <v>161265</v>
      </c>
      <c r="C15" s="1074"/>
      <c r="D15" s="1082" t="s">
        <v>2090</v>
      </c>
      <c r="E15" s="1082" t="s">
        <v>2090</v>
      </c>
      <c r="F15" s="1082">
        <v>84</v>
      </c>
      <c r="G15" s="1082">
        <v>24</v>
      </c>
      <c r="H15" s="1083"/>
      <c r="I15" s="1082" t="s">
        <v>2209</v>
      </c>
      <c r="J15" s="1082">
        <v>2685700</v>
      </c>
      <c r="K15" s="1082">
        <v>939995</v>
      </c>
      <c r="L15" s="1082">
        <v>134285</v>
      </c>
      <c r="M15" s="1084"/>
      <c r="N15" s="1082">
        <f t="shared" si="5"/>
        <v>537140</v>
      </c>
      <c r="O15" s="1089">
        <f t="shared" si="6"/>
        <v>402855</v>
      </c>
      <c r="P15" s="1089">
        <f t="shared" si="4"/>
        <v>268570</v>
      </c>
      <c r="Q15" s="1089">
        <f t="shared" si="3"/>
        <v>134285</v>
      </c>
      <c r="R15" s="1082" t="s">
        <v>2207</v>
      </c>
      <c r="S15" s="1082">
        <v>11.5</v>
      </c>
    </row>
    <row r="16" spans="1:19" ht="21.95" customHeight="1">
      <c r="B16" s="1083">
        <v>161265</v>
      </c>
      <c r="C16" s="1074"/>
      <c r="D16" s="1082" t="s">
        <v>2090</v>
      </c>
      <c r="E16" s="1082" t="s">
        <v>2090</v>
      </c>
      <c r="F16" s="1082">
        <v>84</v>
      </c>
      <c r="G16" s="1082">
        <v>24</v>
      </c>
      <c r="H16" s="1083"/>
      <c r="I16" s="1082" t="s">
        <v>2210</v>
      </c>
      <c r="J16" s="1082">
        <v>3431800</v>
      </c>
      <c r="K16" s="1082">
        <v>1201130</v>
      </c>
      <c r="L16" s="1082">
        <v>171590</v>
      </c>
      <c r="M16" s="1084"/>
      <c r="N16" s="1082">
        <f t="shared" si="5"/>
        <v>686360</v>
      </c>
      <c r="O16" s="1089">
        <f t="shared" si="6"/>
        <v>514770</v>
      </c>
      <c r="P16" s="1089">
        <f t="shared" si="4"/>
        <v>343180</v>
      </c>
      <c r="Q16" s="1089">
        <f t="shared" si="3"/>
        <v>171590</v>
      </c>
      <c r="R16" s="1082" t="s">
        <v>2207</v>
      </c>
      <c r="S16" s="1082">
        <v>11</v>
      </c>
    </row>
    <row r="17" spans="1:19" ht="21.95" customHeight="1">
      <c r="B17" s="1083">
        <v>161265</v>
      </c>
      <c r="C17" s="1074"/>
      <c r="D17" s="1082" t="s">
        <v>2090</v>
      </c>
      <c r="E17" s="1082" t="s">
        <v>2090</v>
      </c>
      <c r="F17" s="1082">
        <v>84</v>
      </c>
      <c r="G17" s="1082">
        <v>24</v>
      </c>
      <c r="H17" s="1083"/>
      <c r="I17" s="1082" t="s">
        <v>2211</v>
      </c>
      <c r="J17" s="1082">
        <v>5165000</v>
      </c>
      <c r="K17" s="1082">
        <v>1807750</v>
      </c>
      <c r="L17" s="1082">
        <v>258250</v>
      </c>
      <c r="M17" s="1084"/>
      <c r="N17" s="1082">
        <f t="shared" si="5"/>
        <v>1033000</v>
      </c>
      <c r="O17" s="1089">
        <f t="shared" si="6"/>
        <v>774750</v>
      </c>
      <c r="P17" s="1089">
        <f t="shared" si="4"/>
        <v>516500</v>
      </c>
      <c r="Q17" s="1089">
        <f t="shared" si="3"/>
        <v>258250</v>
      </c>
      <c r="R17" s="1082" t="s">
        <v>2207</v>
      </c>
      <c r="S17" s="1082">
        <v>11</v>
      </c>
    </row>
    <row r="18" spans="1:19" ht="21.95" customHeight="1">
      <c r="B18" s="1083">
        <v>161265</v>
      </c>
      <c r="C18" s="1074"/>
      <c r="D18" s="1082" t="s">
        <v>2090</v>
      </c>
      <c r="E18" s="1082" t="s">
        <v>2090</v>
      </c>
      <c r="F18" s="1082">
        <v>84</v>
      </c>
      <c r="G18" s="1082">
        <v>24</v>
      </c>
      <c r="H18" s="1083"/>
      <c r="I18" s="1082" t="s">
        <v>2095</v>
      </c>
      <c r="J18" s="1082">
        <v>8759800</v>
      </c>
      <c r="K18" s="1082">
        <v>3065930</v>
      </c>
      <c r="L18" s="1082">
        <v>437990</v>
      </c>
      <c r="M18" s="1084"/>
      <c r="N18" s="1082">
        <f t="shared" si="5"/>
        <v>1751960</v>
      </c>
      <c r="O18" s="1089">
        <f t="shared" si="6"/>
        <v>1313970</v>
      </c>
      <c r="P18" s="1089">
        <f t="shared" si="4"/>
        <v>875980</v>
      </c>
      <c r="Q18" s="1089">
        <f t="shared" si="3"/>
        <v>437990</v>
      </c>
      <c r="R18" s="1082" t="s">
        <v>2207</v>
      </c>
      <c r="S18" s="1082">
        <v>11</v>
      </c>
    </row>
    <row r="19" spans="1:19" ht="21.95" customHeight="1">
      <c r="B19" s="1083">
        <v>161265</v>
      </c>
      <c r="C19" s="1074"/>
      <c r="D19" s="1082" t="s">
        <v>2090</v>
      </c>
      <c r="E19" s="1082" t="s">
        <v>2090</v>
      </c>
      <c r="F19" s="1082">
        <v>84</v>
      </c>
      <c r="G19" s="1082">
        <v>24</v>
      </c>
      <c r="H19" s="1083"/>
      <c r="I19" s="1082" t="s">
        <v>2212</v>
      </c>
      <c r="J19" s="1082">
        <v>22594000</v>
      </c>
      <c r="K19" s="1082">
        <v>7907900</v>
      </c>
      <c r="L19" s="1082">
        <v>1129700</v>
      </c>
      <c r="M19" s="1084"/>
      <c r="N19" s="1082">
        <f t="shared" si="5"/>
        <v>4518800</v>
      </c>
      <c r="O19" s="1089">
        <f t="shared" si="6"/>
        <v>3389100</v>
      </c>
      <c r="P19" s="1089">
        <f t="shared" si="4"/>
        <v>2259400</v>
      </c>
      <c r="Q19" s="1089">
        <f t="shared" si="3"/>
        <v>1129700</v>
      </c>
      <c r="R19" s="1082" t="s">
        <v>2207</v>
      </c>
      <c r="S19" s="1082">
        <v>8</v>
      </c>
    </row>
    <row r="20" spans="1:19" ht="21.95" customHeight="1">
      <c r="B20" s="1083">
        <v>161265</v>
      </c>
      <c r="C20" s="1074"/>
      <c r="D20" s="1082" t="s">
        <v>2090</v>
      </c>
      <c r="E20" s="1082" t="s">
        <v>2090</v>
      </c>
      <c r="F20" s="1082">
        <v>84</v>
      </c>
      <c r="G20" s="1082">
        <v>24</v>
      </c>
      <c r="H20" s="1083"/>
      <c r="I20" s="1082" t="s">
        <v>2203</v>
      </c>
      <c r="J20" s="1082">
        <v>46544400</v>
      </c>
      <c r="K20" s="1082">
        <v>16290540</v>
      </c>
      <c r="L20" s="1082">
        <v>2327220</v>
      </c>
      <c r="M20" s="1084"/>
      <c r="N20" s="1082">
        <f t="shared" si="5"/>
        <v>9308880</v>
      </c>
      <c r="O20" s="1089">
        <f t="shared" si="6"/>
        <v>6981660</v>
      </c>
      <c r="P20" s="1089">
        <f t="shared" si="4"/>
        <v>4654440</v>
      </c>
      <c r="Q20" s="1089">
        <f t="shared" si="3"/>
        <v>2327220</v>
      </c>
      <c r="R20" s="1082" t="s">
        <v>2207</v>
      </c>
      <c r="S20" s="1082">
        <v>8</v>
      </c>
    </row>
    <row r="21" spans="1:19" ht="21.95" customHeight="1">
      <c r="B21" s="1083"/>
      <c r="C21" s="1074"/>
      <c r="D21" s="1082"/>
      <c r="E21" s="1082"/>
      <c r="F21" s="1082"/>
      <c r="G21" s="1082"/>
      <c r="H21" s="1083"/>
      <c r="I21" s="1082"/>
      <c r="J21" s="1083">
        <f>SUM(J13:J20)</f>
        <v>142778780</v>
      </c>
      <c r="K21" s="1083">
        <f>SUM(K13:K20)</f>
        <v>49972573</v>
      </c>
      <c r="L21" s="1083">
        <f>SUM(L13:L20)</f>
        <v>7138939</v>
      </c>
      <c r="M21" s="1088"/>
      <c r="N21" s="1083">
        <f t="shared" si="5"/>
        <v>28555756</v>
      </c>
      <c r="O21" s="1089">
        <f t="shared" si="6"/>
        <v>21416817</v>
      </c>
      <c r="P21" s="1089">
        <f t="shared" si="4"/>
        <v>14277878</v>
      </c>
      <c r="Q21" s="1089">
        <f t="shared" si="3"/>
        <v>7138939</v>
      </c>
      <c r="R21" s="1082"/>
      <c r="S21" s="1082"/>
    </row>
    <row r="22" spans="1:19" ht="45" customHeight="1">
      <c r="A22" s="1048">
        <v>5</v>
      </c>
      <c r="B22" s="1080">
        <v>161266</v>
      </c>
      <c r="C22" s="1081" t="s">
        <v>2206</v>
      </c>
      <c r="D22" s="1082" t="s">
        <v>2090</v>
      </c>
      <c r="E22" s="1082" t="s">
        <v>2090</v>
      </c>
      <c r="F22" s="1082">
        <v>84</v>
      </c>
      <c r="G22" s="1082">
        <v>24</v>
      </c>
      <c r="H22" s="1083">
        <v>52360000</v>
      </c>
      <c r="I22" s="1082" t="s">
        <v>2202</v>
      </c>
      <c r="J22" s="1082">
        <v>10472000</v>
      </c>
      <c r="K22" s="1082">
        <v>3665200</v>
      </c>
      <c r="L22" s="1082">
        <v>523600</v>
      </c>
      <c r="M22" s="1084"/>
      <c r="N22" s="1082">
        <f t="shared" si="5"/>
        <v>2094400</v>
      </c>
      <c r="O22" s="1089">
        <f t="shared" si="6"/>
        <v>1570800</v>
      </c>
      <c r="P22" s="1089">
        <f t="shared" si="4"/>
        <v>1047200</v>
      </c>
      <c r="Q22" s="1089">
        <f t="shared" si="3"/>
        <v>523600</v>
      </c>
      <c r="R22" s="1082" t="s">
        <v>2207</v>
      </c>
      <c r="S22" s="1082">
        <v>8</v>
      </c>
    </row>
    <row r="23" spans="1:19" ht="21.95" customHeight="1">
      <c r="B23" s="1083">
        <v>161266</v>
      </c>
      <c r="C23" s="1074"/>
      <c r="D23" s="1082" t="s">
        <v>2090</v>
      </c>
      <c r="E23" s="1082" t="s">
        <v>2090</v>
      </c>
      <c r="F23" s="1082">
        <v>84</v>
      </c>
      <c r="G23" s="1082">
        <v>24</v>
      </c>
      <c r="H23" s="1083"/>
      <c r="I23" s="1082" t="s">
        <v>2212</v>
      </c>
      <c r="J23" s="1082">
        <v>7563000</v>
      </c>
      <c r="K23" s="1082">
        <v>2647050</v>
      </c>
      <c r="L23" s="1082">
        <v>378150</v>
      </c>
      <c r="M23" s="1084"/>
      <c r="N23" s="1082">
        <f t="shared" si="5"/>
        <v>1512600</v>
      </c>
      <c r="O23" s="1089">
        <f t="shared" si="6"/>
        <v>1134450</v>
      </c>
      <c r="P23" s="1089">
        <f t="shared" si="4"/>
        <v>756300</v>
      </c>
      <c r="Q23" s="1089">
        <f t="shared" si="3"/>
        <v>378150</v>
      </c>
      <c r="R23" s="1082" t="s">
        <v>2207</v>
      </c>
      <c r="S23" s="1082">
        <v>8</v>
      </c>
    </row>
    <row r="24" spans="1:19" ht="21.95" customHeight="1">
      <c r="B24" s="1083">
        <v>161266</v>
      </c>
      <c r="C24" s="1074"/>
      <c r="D24" s="1082" t="s">
        <v>2090</v>
      </c>
      <c r="E24" s="1082" t="s">
        <v>2090</v>
      </c>
      <c r="F24" s="1082">
        <v>84</v>
      </c>
      <c r="G24" s="1082">
        <v>24</v>
      </c>
      <c r="H24" s="1083"/>
      <c r="I24" s="1082" t="s">
        <v>2213</v>
      </c>
      <c r="J24" s="1082">
        <v>25464200</v>
      </c>
      <c r="K24" s="1082">
        <v>8912470</v>
      </c>
      <c r="L24" s="1082">
        <v>1273210</v>
      </c>
      <c r="M24" s="1084"/>
      <c r="N24" s="1082">
        <f t="shared" si="5"/>
        <v>5092840</v>
      </c>
      <c r="O24" s="1089">
        <f t="shared" si="6"/>
        <v>3819630</v>
      </c>
      <c r="P24" s="1089">
        <f t="shared" si="4"/>
        <v>2546420</v>
      </c>
      <c r="Q24" s="1089">
        <f t="shared" si="3"/>
        <v>1273210</v>
      </c>
      <c r="R24" s="1082" t="s">
        <v>2207</v>
      </c>
      <c r="S24" s="1082">
        <v>13.5</v>
      </c>
    </row>
    <row r="25" spans="1:19" ht="21.95" customHeight="1">
      <c r="B25" s="1083">
        <v>161266</v>
      </c>
      <c r="C25" s="1074"/>
      <c r="D25" s="1082" t="s">
        <v>2090</v>
      </c>
      <c r="E25" s="1082" t="s">
        <v>2090</v>
      </c>
      <c r="F25" s="1082">
        <v>84</v>
      </c>
      <c r="G25" s="1082">
        <v>24</v>
      </c>
      <c r="H25" s="1083"/>
      <c r="I25" s="1082" t="s">
        <v>2214</v>
      </c>
      <c r="J25" s="1082">
        <v>6508800</v>
      </c>
      <c r="K25" s="1082">
        <v>2278080</v>
      </c>
      <c r="L25" s="1082">
        <v>325440</v>
      </c>
      <c r="M25" s="1084"/>
      <c r="N25" s="1082">
        <f t="shared" si="5"/>
        <v>1301760</v>
      </c>
      <c r="O25" s="1089">
        <f t="shared" si="6"/>
        <v>976320</v>
      </c>
      <c r="P25" s="1089">
        <f t="shared" si="4"/>
        <v>650880</v>
      </c>
      <c r="Q25" s="1089">
        <f t="shared" si="3"/>
        <v>325440</v>
      </c>
      <c r="R25" s="1082" t="s">
        <v>2207</v>
      </c>
      <c r="S25" s="1082">
        <v>11.5</v>
      </c>
    </row>
    <row r="26" spans="1:19" ht="21.95" customHeight="1">
      <c r="B26" s="1083">
        <v>161266</v>
      </c>
      <c r="C26" s="1074"/>
      <c r="D26" s="1082" t="s">
        <v>2090</v>
      </c>
      <c r="E26" s="1082" t="s">
        <v>2090</v>
      </c>
      <c r="F26" s="1082">
        <v>84</v>
      </c>
      <c r="G26" s="1082">
        <v>24</v>
      </c>
      <c r="H26" s="1083"/>
      <c r="I26" s="1082" t="s">
        <v>2214</v>
      </c>
      <c r="J26" s="1082">
        <v>508000</v>
      </c>
      <c r="K26" s="1082">
        <v>177800</v>
      </c>
      <c r="L26" s="1082">
        <v>25400</v>
      </c>
      <c r="M26" s="1084"/>
      <c r="N26" s="1082">
        <f t="shared" si="5"/>
        <v>101600</v>
      </c>
      <c r="O26" s="1089">
        <f t="shared" si="6"/>
        <v>76200</v>
      </c>
      <c r="P26" s="1089">
        <f t="shared" si="4"/>
        <v>50800</v>
      </c>
      <c r="Q26" s="1089">
        <f t="shared" si="3"/>
        <v>25400</v>
      </c>
      <c r="R26" s="1082" t="s">
        <v>2207</v>
      </c>
      <c r="S26" s="1082">
        <v>11.5</v>
      </c>
    </row>
    <row r="27" spans="1:19" ht="21.95" customHeight="1">
      <c r="B27" s="1083">
        <v>161266</v>
      </c>
      <c r="C27" s="1074"/>
      <c r="D27" s="1082" t="s">
        <v>2090</v>
      </c>
      <c r="E27" s="1082" t="s">
        <v>2090</v>
      </c>
      <c r="F27" s="1082">
        <v>84</v>
      </c>
      <c r="G27" s="1082">
        <v>24</v>
      </c>
      <c r="H27" s="1083"/>
      <c r="I27" s="1082" t="s">
        <v>2215</v>
      </c>
      <c r="J27" s="1082">
        <v>194000</v>
      </c>
      <c r="K27" s="1082">
        <v>67900</v>
      </c>
      <c r="L27" s="1082">
        <v>9700</v>
      </c>
      <c r="M27" s="1084"/>
      <c r="N27" s="1082">
        <f t="shared" si="5"/>
        <v>38800</v>
      </c>
      <c r="O27" s="1089">
        <f t="shared" si="6"/>
        <v>29100</v>
      </c>
      <c r="P27" s="1089">
        <f t="shared" si="4"/>
        <v>19400</v>
      </c>
      <c r="Q27" s="1089">
        <f t="shared" si="3"/>
        <v>9700</v>
      </c>
      <c r="R27" s="1082" t="s">
        <v>2207</v>
      </c>
      <c r="S27" s="1082">
        <v>11.5</v>
      </c>
    </row>
    <row r="28" spans="1:19" ht="21.95" customHeight="1">
      <c r="B28" s="1083"/>
      <c r="C28" s="1074"/>
      <c r="D28" s="1082"/>
      <c r="E28" s="1082"/>
      <c r="F28" s="1082"/>
      <c r="G28" s="1082"/>
      <c r="H28" s="1083"/>
      <c r="I28" s="1082"/>
      <c r="J28" s="1083">
        <f>SUM(J22:J27)</f>
        <v>50710000</v>
      </c>
      <c r="K28" s="1083">
        <f>SUM(K22:K27)</f>
        <v>17748500</v>
      </c>
      <c r="L28" s="1083">
        <f>SUM(L22:L27)</f>
        <v>2535500</v>
      </c>
      <c r="M28" s="1088"/>
      <c r="N28" s="1083">
        <f t="shared" si="5"/>
        <v>10142000</v>
      </c>
      <c r="O28" s="1089">
        <f t="shared" si="6"/>
        <v>7606500</v>
      </c>
      <c r="P28" s="1089">
        <f t="shared" si="4"/>
        <v>5071000</v>
      </c>
      <c r="Q28" s="1089">
        <f t="shared" si="3"/>
        <v>2535500</v>
      </c>
      <c r="R28" s="1082"/>
      <c r="S28" s="1082"/>
    </row>
    <row r="29" spans="1:19" ht="48.75" customHeight="1">
      <c r="A29" s="1048">
        <v>6</v>
      </c>
      <c r="B29" s="1080">
        <v>161267</v>
      </c>
      <c r="C29" s="1081" t="s">
        <v>2206</v>
      </c>
      <c r="D29" s="1082" t="s">
        <v>2090</v>
      </c>
      <c r="E29" s="1082" t="s">
        <v>2090</v>
      </c>
      <c r="F29" s="1082">
        <v>84</v>
      </c>
      <c r="G29" s="1082">
        <v>24</v>
      </c>
      <c r="H29" s="1083">
        <v>39567000</v>
      </c>
      <c r="I29" s="1082" t="s">
        <v>2202</v>
      </c>
      <c r="J29" s="1082">
        <v>7913400</v>
      </c>
      <c r="K29" s="1092">
        <v>2748838</v>
      </c>
      <c r="L29" s="1082">
        <v>392691</v>
      </c>
      <c r="M29" s="1084"/>
      <c r="N29" s="1082">
        <f t="shared" si="5"/>
        <v>1570764</v>
      </c>
      <c r="O29" s="1089">
        <f t="shared" si="6"/>
        <v>1178074</v>
      </c>
      <c r="P29" s="1089">
        <f t="shared" si="4"/>
        <v>785382</v>
      </c>
      <c r="Q29" s="1089">
        <f t="shared" si="3"/>
        <v>392692</v>
      </c>
      <c r="R29" s="1082" t="s">
        <v>2207</v>
      </c>
      <c r="S29" s="1082">
        <v>8</v>
      </c>
    </row>
    <row r="30" spans="1:19" ht="21.95" customHeight="1">
      <c r="B30" s="1083">
        <v>161267</v>
      </c>
      <c r="C30" s="1074"/>
      <c r="D30" s="1082" t="s">
        <v>2090</v>
      </c>
      <c r="E30" s="1082" t="s">
        <v>2090</v>
      </c>
      <c r="F30" s="1082">
        <v>84</v>
      </c>
      <c r="G30" s="1082">
        <v>24</v>
      </c>
      <c r="H30" s="1083"/>
      <c r="I30" s="1082" t="s">
        <v>2212</v>
      </c>
      <c r="J30" s="1082">
        <v>30499000</v>
      </c>
      <c r="K30" s="1092">
        <v>10594295</v>
      </c>
      <c r="L30" s="1082">
        <v>1513469</v>
      </c>
      <c r="M30" s="1084"/>
      <c r="N30" s="1082">
        <f>L30*4</f>
        <v>6053876</v>
      </c>
      <c r="O30" s="1089">
        <f>K30-N30</f>
        <v>4540419</v>
      </c>
      <c r="P30" s="1089">
        <f t="shared" si="4"/>
        <v>3026938</v>
      </c>
      <c r="Q30" s="1089">
        <f t="shared" si="3"/>
        <v>1513481</v>
      </c>
      <c r="R30" s="1082" t="s">
        <v>2207</v>
      </c>
      <c r="S30" s="1082">
        <v>8</v>
      </c>
    </row>
    <row r="31" spans="1:19" ht="21.95" customHeight="1">
      <c r="B31" s="1083"/>
      <c r="C31" s="1074"/>
      <c r="D31" s="1082"/>
      <c r="E31" s="1082"/>
      <c r="F31" s="1082"/>
      <c r="G31" s="1082"/>
      <c r="H31" s="1083"/>
      <c r="I31" s="1082"/>
      <c r="J31" s="1083">
        <f>SUM(J29:J30)</f>
        <v>38412400</v>
      </c>
      <c r="K31" s="1083">
        <f>SUM(K29:K30)</f>
        <v>13343133</v>
      </c>
      <c r="L31" s="1083">
        <f>SUM(L29:L30)</f>
        <v>1906160</v>
      </c>
      <c r="M31" s="1088"/>
      <c r="N31" s="1083">
        <f t="shared" ref="N31:N47" si="7">L31*4</f>
        <v>7624640</v>
      </c>
      <c r="O31" s="1089">
        <f t="shared" ref="O31:O47" si="8">K31-N31</f>
        <v>5718493</v>
      </c>
      <c r="P31" s="1089">
        <f t="shared" si="4"/>
        <v>3812320</v>
      </c>
      <c r="Q31" s="1089">
        <f t="shared" si="3"/>
        <v>1906173</v>
      </c>
      <c r="R31" s="1082"/>
      <c r="S31" s="1082"/>
    </row>
    <row r="32" spans="1:19" ht="42.75" customHeight="1">
      <c r="A32" s="1048">
        <v>7</v>
      </c>
      <c r="B32" s="1080">
        <v>161268</v>
      </c>
      <c r="C32" s="1081" t="s">
        <v>2206</v>
      </c>
      <c r="D32" s="1082" t="s">
        <v>2090</v>
      </c>
      <c r="E32" s="1082" t="s">
        <v>2090</v>
      </c>
      <c r="F32" s="1082">
        <v>84</v>
      </c>
      <c r="G32" s="1082">
        <v>24</v>
      </c>
      <c r="H32" s="1083">
        <v>25376000</v>
      </c>
      <c r="I32" s="1082" t="s">
        <v>2202</v>
      </c>
      <c r="J32" s="1082">
        <v>5075200</v>
      </c>
      <c r="K32" s="1082">
        <v>1792970</v>
      </c>
      <c r="L32" s="1082">
        <v>252300</v>
      </c>
      <c r="M32" s="1084" t="s">
        <v>2216</v>
      </c>
      <c r="N32" s="1082">
        <f t="shared" si="7"/>
        <v>1009200</v>
      </c>
      <c r="O32" s="1089">
        <f t="shared" si="8"/>
        <v>783770</v>
      </c>
      <c r="P32" s="1089">
        <f t="shared" si="4"/>
        <v>504600</v>
      </c>
      <c r="Q32" s="1089">
        <f t="shared" si="3"/>
        <v>279170</v>
      </c>
      <c r="R32" s="1082" t="s">
        <v>2207</v>
      </c>
      <c r="S32" s="1082">
        <v>8</v>
      </c>
    </row>
    <row r="33" spans="1:19" ht="21.95" customHeight="1">
      <c r="B33" s="1083">
        <v>161268</v>
      </c>
      <c r="C33" s="1074"/>
      <c r="D33" s="1082" t="s">
        <v>2090</v>
      </c>
      <c r="E33" s="1082" t="s">
        <v>2090</v>
      </c>
      <c r="F33" s="1082">
        <v>84</v>
      </c>
      <c r="G33" s="1082">
        <v>24</v>
      </c>
      <c r="H33" s="1083"/>
      <c r="I33" s="1082" t="s">
        <v>2217</v>
      </c>
      <c r="J33" s="1082">
        <v>19736600</v>
      </c>
      <c r="K33" s="1082">
        <v>6978835</v>
      </c>
      <c r="L33" s="1082">
        <v>981200</v>
      </c>
      <c r="M33" s="1084"/>
      <c r="N33" s="1082">
        <f t="shared" si="7"/>
        <v>3924800</v>
      </c>
      <c r="O33" s="1089">
        <f t="shared" si="8"/>
        <v>3054035</v>
      </c>
      <c r="P33" s="1089">
        <f t="shared" si="4"/>
        <v>1962400</v>
      </c>
      <c r="Q33" s="1089">
        <f t="shared" si="3"/>
        <v>1091635</v>
      </c>
      <c r="R33" s="1082" t="s">
        <v>2207</v>
      </c>
      <c r="S33" s="1082">
        <v>8</v>
      </c>
    </row>
    <row r="34" spans="1:19" ht="21.95" customHeight="1">
      <c r="B34" s="1083"/>
      <c r="C34" s="1074"/>
      <c r="D34" s="1082"/>
      <c r="E34" s="1082"/>
      <c r="F34" s="1082"/>
      <c r="G34" s="1082"/>
      <c r="H34" s="1083"/>
      <c r="I34" s="1082"/>
      <c r="J34" s="1083">
        <f>SUM(J32:J33)</f>
        <v>24811800</v>
      </c>
      <c r="K34" s="1083">
        <f>SUM(K32:K33)</f>
        <v>8771805</v>
      </c>
      <c r="L34" s="1083">
        <f>SUM(L32:L33)</f>
        <v>1233500</v>
      </c>
      <c r="M34" s="1088"/>
      <c r="N34" s="1083">
        <f t="shared" si="7"/>
        <v>4934000</v>
      </c>
      <c r="O34" s="1089">
        <f t="shared" si="8"/>
        <v>3837805</v>
      </c>
      <c r="P34" s="1089">
        <f t="shared" si="4"/>
        <v>2467000</v>
      </c>
      <c r="Q34" s="1089">
        <f t="shared" si="3"/>
        <v>1370805</v>
      </c>
      <c r="R34" s="1082"/>
      <c r="S34" s="1082"/>
    </row>
    <row r="35" spans="1:19" ht="46.5" customHeight="1">
      <c r="A35" s="1048">
        <v>8</v>
      </c>
      <c r="B35" s="1080">
        <v>161270</v>
      </c>
      <c r="C35" s="1081" t="s">
        <v>2218</v>
      </c>
      <c r="D35" s="1082" t="s">
        <v>2090</v>
      </c>
      <c r="E35" s="1082" t="s">
        <v>2090</v>
      </c>
      <c r="F35" s="1082">
        <v>84</v>
      </c>
      <c r="G35" s="1082">
        <v>24</v>
      </c>
      <c r="H35" s="1083">
        <v>81352000</v>
      </c>
      <c r="I35" s="1082" t="s">
        <v>2202</v>
      </c>
      <c r="J35" s="1082">
        <v>16270400</v>
      </c>
      <c r="K35" s="1082">
        <v>5108922</v>
      </c>
      <c r="L35" s="1082">
        <v>729846</v>
      </c>
      <c r="M35" s="1084"/>
      <c r="N35" s="1082">
        <f t="shared" si="7"/>
        <v>2919384</v>
      </c>
      <c r="O35" s="1089">
        <f t="shared" si="8"/>
        <v>2189538</v>
      </c>
      <c r="P35" s="1089">
        <f t="shared" si="4"/>
        <v>1459692</v>
      </c>
      <c r="Q35" s="1089">
        <f t="shared" si="3"/>
        <v>729846</v>
      </c>
      <c r="R35" s="1082" t="s">
        <v>2207</v>
      </c>
      <c r="S35" s="1082">
        <v>8</v>
      </c>
    </row>
    <row r="36" spans="1:19" ht="21.95" customHeight="1">
      <c r="B36" s="1083">
        <v>161270</v>
      </c>
      <c r="C36" s="1074"/>
      <c r="D36" s="1082" t="s">
        <v>2090</v>
      </c>
      <c r="E36" s="1082" t="s">
        <v>2090</v>
      </c>
      <c r="F36" s="1082">
        <v>84</v>
      </c>
      <c r="G36" s="1082">
        <v>24</v>
      </c>
      <c r="H36" s="1083"/>
      <c r="I36" s="1082" t="s">
        <v>2217</v>
      </c>
      <c r="J36" s="1082">
        <v>41368000</v>
      </c>
      <c r="K36" s="1082">
        <v>12989591</v>
      </c>
      <c r="L36" s="1082">
        <v>1855654</v>
      </c>
      <c r="M36" s="1084"/>
      <c r="N36" s="1082">
        <f t="shared" si="7"/>
        <v>7422616</v>
      </c>
      <c r="O36" s="1089">
        <f t="shared" si="8"/>
        <v>5566975</v>
      </c>
      <c r="P36" s="1089">
        <f t="shared" si="4"/>
        <v>3711308</v>
      </c>
      <c r="Q36" s="1089">
        <f t="shared" si="3"/>
        <v>1855667</v>
      </c>
      <c r="R36" s="1082" t="s">
        <v>2207</v>
      </c>
      <c r="S36" s="1082">
        <v>8</v>
      </c>
    </row>
    <row r="37" spans="1:19" ht="21.95" customHeight="1">
      <c r="B37" s="1083"/>
      <c r="C37" s="1074"/>
      <c r="D37" s="1082"/>
      <c r="E37" s="1082"/>
      <c r="F37" s="1082"/>
      <c r="G37" s="1082"/>
      <c r="H37" s="1083"/>
      <c r="I37" s="1082"/>
      <c r="J37" s="1083">
        <f>SUM(J35:J36)</f>
        <v>57638400</v>
      </c>
      <c r="K37" s="1083">
        <f>SUM(K35:K36)</f>
        <v>18098513</v>
      </c>
      <c r="L37" s="1083">
        <f>SUM(L35:L36)</f>
        <v>2585500</v>
      </c>
      <c r="M37" s="1088"/>
      <c r="N37" s="1083">
        <f t="shared" si="7"/>
        <v>10342000</v>
      </c>
      <c r="O37" s="1089">
        <f t="shared" si="8"/>
        <v>7756513</v>
      </c>
      <c r="P37" s="1089">
        <f t="shared" si="4"/>
        <v>5171000</v>
      </c>
      <c r="Q37" s="1089">
        <f t="shared" si="3"/>
        <v>2585513</v>
      </c>
      <c r="R37" s="1082"/>
      <c r="S37" s="1082"/>
    </row>
    <row r="38" spans="1:19" ht="54.75" customHeight="1">
      <c r="A38" s="1048">
        <v>9</v>
      </c>
      <c r="B38" s="1080">
        <v>161271</v>
      </c>
      <c r="C38" s="1081" t="s">
        <v>2218</v>
      </c>
      <c r="D38" s="1082" t="s">
        <v>2090</v>
      </c>
      <c r="E38" s="1082" t="s">
        <v>2090</v>
      </c>
      <c r="F38" s="1082">
        <v>84</v>
      </c>
      <c r="G38" s="1082">
        <v>24</v>
      </c>
      <c r="H38" s="1083">
        <v>37772000</v>
      </c>
      <c r="I38" s="1082" t="s">
        <v>2202</v>
      </c>
      <c r="J38" s="1082">
        <v>7554400</v>
      </c>
      <c r="K38" s="1082">
        <v>2644040</v>
      </c>
      <c r="L38" s="1082">
        <v>377720</v>
      </c>
      <c r="M38" s="1084"/>
      <c r="N38" s="1082">
        <f t="shared" si="7"/>
        <v>1510880</v>
      </c>
      <c r="O38" s="1089">
        <f t="shared" si="8"/>
        <v>1133160</v>
      </c>
      <c r="P38" s="1089">
        <f t="shared" si="4"/>
        <v>755440</v>
      </c>
      <c r="Q38" s="1089">
        <f t="shared" si="3"/>
        <v>377720</v>
      </c>
      <c r="R38" s="1082" t="s">
        <v>2207</v>
      </c>
      <c r="S38" s="1082">
        <v>8</v>
      </c>
    </row>
    <row r="39" spans="1:19" ht="21.95" customHeight="1">
      <c r="B39" s="1083">
        <v>161271</v>
      </c>
      <c r="C39" s="1074"/>
      <c r="D39" s="1082" t="s">
        <v>2090</v>
      </c>
      <c r="E39" s="1082" t="s">
        <v>2090</v>
      </c>
      <c r="F39" s="1082">
        <v>84</v>
      </c>
      <c r="G39" s="1082">
        <v>24</v>
      </c>
      <c r="H39" s="1083"/>
      <c r="I39" s="1082" t="s">
        <v>2212</v>
      </c>
      <c r="J39" s="1082">
        <v>27892000</v>
      </c>
      <c r="K39" s="1082">
        <v>9762200</v>
      </c>
      <c r="L39" s="1082">
        <v>1394600</v>
      </c>
      <c r="M39" s="1084"/>
      <c r="N39" s="1082">
        <f t="shared" si="7"/>
        <v>5578400</v>
      </c>
      <c r="O39" s="1089">
        <f t="shared" si="8"/>
        <v>4183800</v>
      </c>
      <c r="P39" s="1089">
        <f t="shared" si="4"/>
        <v>2789200</v>
      </c>
      <c r="Q39" s="1089">
        <f t="shared" si="3"/>
        <v>1394600</v>
      </c>
      <c r="R39" s="1082" t="s">
        <v>2207</v>
      </c>
      <c r="S39" s="1082">
        <v>8</v>
      </c>
    </row>
    <row r="40" spans="1:19" ht="21.95" customHeight="1">
      <c r="B40" s="1083"/>
      <c r="C40" s="1074"/>
      <c r="D40" s="1082"/>
      <c r="E40" s="1082"/>
      <c r="F40" s="1082"/>
      <c r="G40" s="1082"/>
      <c r="H40" s="1083"/>
      <c r="I40" s="1082"/>
      <c r="J40" s="1083">
        <f>SUM(J38:J39)</f>
        <v>35446400</v>
      </c>
      <c r="K40" s="1083">
        <f>SUM(K38:K39)</f>
        <v>12406240</v>
      </c>
      <c r="L40" s="1083">
        <f>SUM(L38:L39)</f>
        <v>1772320</v>
      </c>
      <c r="M40" s="1088"/>
      <c r="N40" s="1083">
        <f t="shared" si="7"/>
        <v>7089280</v>
      </c>
      <c r="O40" s="1089">
        <f t="shared" si="8"/>
        <v>5316960</v>
      </c>
      <c r="P40" s="1089">
        <f t="shared" si="4"/>
        <v>3544640</v>
      </c>
      <c r="Q40" s="1089">
        <f t="shared" si="3"/>
        <v>1772320</v>
      </c>
      <c r="R40" s="1082"/>
      <c r="S40" s="1082"/>
    </row>
    <row r="41" spans="1:19" ht="45" customHeight="1">
      <c r="A41" s="1048">
        <v>10</v>
      </c>
      <c r="B41" s="1080">
        <v>161282</v>
      </c>
      <c r="C41" s="1081" t="s">
        <v>2206</v>
      </c>
      <c r="D41" s="1082" t="s">
        <v>2090</v>
      </c>
      <c r="E41" s="1082" t="s">
        <v>2090</v>
      </c>
      <c r="F41" s="1082">
        <v>156</v>
      </c>
      <c r="G41" s="1082">
        <v>36</v>
      </c>
      <c r="H41" s="1083">
        <v>537656000</v>
      </c>
      <c r="I41" s="1082" t="s">
        <v>2219</v>
      </c>
      <c r="J41" s="1082">
        <v>36973300</v>
      </c>
      <c r="K41" s="1082">
        <v>28371179</v>
      </c>
      <c r="L41" s="1082">
        <v>788088</v>
      </c>
      <c r="M41" s="1084"/>
      <c r="N41" s="1082">
        <f t="shared" si="7"/>
        <v>3152352</v>
      </c>
      <c r="O41" s="1089">
        <f t="shared" si="8"/>
        <v>25218827</v>
      </c>
      <c r="P41" s="1089">
        <f t="shared" si="4"/>
        <v>1576176</v>
      </c>
      <c r="Q41" s="1089">
        <f t="shared" si="3"/>
        <v>23642651</v>
      </c>
      <c r="R41" s="1082" t="s">
        <v>2220</v>
      </c>
      <c r="S41" s="1082">
        <v>12.75</v>
      </c>
    </row>
    <row r="42" spans="1:19" ht="21.95" customHeight="1">
      <c r="B42" s="1083">
        <v>161282</v>
      </c>
      <c r="C42" s="1074"/>
      <c r="D42" s="1082" t="s">
        <v>2090</v>
      </c>
      <c r="E42" s="1082" t="s">
        <v>2090</v>
      </c>
      <c r="F42" s="1082">
        <v>156</v>
      </c>
      <c r="G42" s="1082">
        <v>36</v>
      </c>
      <c r="H42" s="1083"/>
      <c r="I42" s="1082" t="s">
        <v>2221</v>
      </c>
      <c r="J42" s="1082">
        <v>8097700</v>
      </c>
      <c r="K42" s="1082">
        <v>7287928</v>
      </c>
      <c r="L42" s="1082">
        <v>202443</v>
      </c>
      <c r="M42" s="1084"/>
      <c r="N42" s="1082">
        <f t="shared" si="7"/>
        <v>809772</v>
      </c>
      <c r="O42" s="1089">
        <f t="shared" si="8"/>
        <v>6478156</v>
      </c>
      <c r="P42" s="1089">
        <f t="shared" si="4"/>
        <v>404886</v>
      </c>
      <c r="Q42" s="1089">
        <f t="shared" si="3"/>
        <v>6073270</v>
      </c>
      <c r="R42" s="1082" t="s">
        <v>2220</v>
      </c>
      <c r="S42" s="1082">
        <v>11.5</v>
      </c>
    </row>
    <row r="43" spans="1:19" ht="21.95" customHeight="1">
      <c r="B43" s="1083">
        <v>161282</v>
      </c>
      <c r="C43" s="1074"/>
      <c r="D43" s="1082" t="s">
        <v>2090</v>
      </c>
      <c r="E43" s="1082" t="s">
        <v>2090</v>
      </c>
      <c r="F43" s="1082">
        <v>156</v>
      </c>
      <c r="G43" s="1082">
        <v>36</v>
      </c>
      <c r="H43" s="1083"/>
      <c r="I43" s="1082" t="s">
        <v>2222</v>
      </c>
      <c r="J43" s="1082">
        <v>4036300</v>
      </c>
      <c r="K43" s="1082">
        <v>3632668</v>
      </c>
      <c r="L43" s="1082">
        <v>100908</v>
      </c>
      <c r="M43" s="1084"/>
      <c r="N43" s="1082">
        <f t="shared" si="7"/>
        <v>403632</v>
      </c>
      <c r="O43" s="1089">
        <f t="shared" si="8"/>
        <v>3229036</v>
      </c>
      <c r="P43" s="1089">
        <f t="shared" si="4"/>
        <v>201816</v>
      </c>
      <c r="Q43" s="1089">
        <f t="shared" si="3"/>
        <v>3027220</v>
      </c>
      <c r="R43" s="1082" t="s">
        <v>2220</v>
      </c>
      <c r="S43" s="1082">
        <v>11.5</v>
      </c>
    </row>
    <row r="44" spans="1:19" ht="21.95" customHeight="1">
      <c r="B44" s="1083">
        <v>161282</v>
      </c>
      <c r="C44" s="1074"/>
      <c r="D44" s="1082" t="s">
        <v>2090</v>
      </c>
      <c r="E44" s="1082" t="s">
        <v>2090</v>
      </c>
      <c r="F44" s="1082">
        <v>156</v>
      </c>
      <c r="G44" s="1082">
        <v>36</v>
      </c>
      <c r="H44" s="1083"/>
      <c r="I44" s="1082" t="s">
        <v>2223</v>
      </c>
      <c r="J44" s="1082">
        <v>3875400</v>
      </c>
      <c r="K44" s="1082">
        <v>3487860</v>
      </c>
      <c r="L44" s="1082">
        <v>96885</v>
      </c>
      <c r="M44" s="1084"/>
      <c r="N44" s="1082">
        <f t="shared" si="7"/>
        <v>387540</v>
      </c>
      <c r="O44" s="1089">
        <f t="shared" si="8"/>
        <v>3100320</v>
      </c>
      <c r="P44" s="1089">
        <f t="shared" si="4"/>
        <v>193770</v>
      </c>
      <c r="Q44" s="1089">
        <f t="shared" si="3"/>
        <v>2906550</v>
      </c>
      <c r="R44" s="1082" t="s">
        <v>2220</v>
      </c>
      <c r="S44" s="1082">
        <v>11.5</v>
      </c>
    </row>
    <row r="45" spans="1:19" ht="21.95" customHeight="1">
      <c r="B45" s="1083">
        <v>161282</v>
      </c>
      <c r="C45" s="1074"/>
      <c r="D45" s="1082" t="s">
        <v>2090</v>
      </c>
      <c r="E45" s="1082" t="s">
        <v>2090</v>
      </c>
      <c r="F45" s="1082">
        <v>156</v>
      </c>
      <c r="G45" s="1082">
        <v>36</v>
      </c>
      <c r="H45" s="1083"/>
      <c r="I45" s="1082" t="s">
        <v>2224</v>
      </c>
      <c r="J45" s="1082">
        <v>2970000</v>
      </c>
      <c r="K45" s="1082">
        <v>2673000</v>
      </c>
      <c r="L45" s="1082">
        <v>74250</v>
      </c>
      <c r="M45" s="1084"/>
      <c r="N45" s="1082">
        <f t="shared" si="7"/>
        <v>297000</v>
      </c>
      <c r="O45" s="1089">
        <f t="shared" si="8"/>
        <v>2376000</v>
      </c>
      <c r="P45" s="1089">
        <f t="shared" si="4"/>
        <v>148500</v>
      </c>
      <c r="Q45" s="1089">
        <f t="shared" si="3"/>
        <v>2227500</v>
      </c>
      <c r="R45" s="1082" t="s">
        <v>2220</v>
      </c>
      <c r="S45" s="1082">
        <v>11</v>
      </c>
    </row>
    <row r="46" spans="1:19" ht="21.95" customHeight="1">
      <c r="B46" s="1083">
        <v>161282</v>
      </c>
      <c r="C46" s="1074"/>
      <c r="D46" s="1082" t="s">
        <v>2090</v>
      </c>
      <c r="E46" s="1082" t="s">
        <v>2090</v>
      </c>
      <c r="F46" s="1082">
        <v>156</v>
      </c>
      <c r="G46" s="1082">
        <v>36</v>
      </c>
      <c r="H46" s="1083"/>
      <c r="I46" s="1082" t="s">
        <v>2225</v>
      </c>
      <c r="J46" s="1082">
        <v>221308000</v>
      </c>
      <c r="K46" s="1082">
        <v>169818993</v>
      </c>
      <c r="L46" s="1082">
        <v>4717194</v>
      </c>
      <c r="M46" s="1084"/>
      <c r="N46" s="1082">
        <f t="shared" si="7"/>
        <v>18868776</v>
      </c>
      <c r="O46" s="1089">
        <f t="shared" si="8"/>
        <v>150950217</v>
      </c>
      <c r="P46" s="1089">
        <f t="shared" si="4"/>
        <v>9434388</v>
      </c>
      <c r="Q46" s="1089">
        <f t="shared" si="3"/>
        <v>141515829</v>
      </c>
      <c r="R46" s="1082" t="s">
        <v>2220</v>
      </c>
      <c r="S46" s="1082">
        <v>12.75</v>
      </c>
    </row>
    <row r="47" spans="1:19" ht="21.95" customHeight="1">
      <c r="B47" s="1083"/>
      <c r="C47" s="1074"/>
      <c r="D47" s="1082"/>
      <c r="E47" s="1082"/>
      <c r="F47" s="1082"/>
      <c r="G47" s="1082"/>
      <c r="H47" s="1083"/>
      <c r="I47" s="1082"/>
      <c r="J47" s="1083">
        <f>SUM(J41:J46)</f>
        <v>277260700</v>
      </c>
      <c r="K47" s="1083">
        <f>SUM(K41:K46)</f>
        <v>215271628</v>
      </c>
      <c r="L47" s="1083">
        <f>SUM(L41:L46)</f>
        <v>5979768</v>
      </c>
      <c r="M47" s="1088"/>
      <c r="N47" s="1083">
        <f t="shared" si="7"/>
        <v>23919072</v>
      </c>
      <c r="O47" s="1089">
        <f t="shared" si="8"/>
        <v>191352556</v>
      </c>
      <c r="P47" s="1089">
        <f t="shared" si="4"/>
        <v>11959536</v>
      </c>
      <c r="Q47" s="1089">
        <f t="shared" si="3"/>
        <v>179393020</v>
      </c>
      <c r="R47" s="1082"/>
      <c r="S47" s="1082"/>
    </row>
    <row r="48" spans="1:19" ht="21.95" customHeight="1">
      <c r="G48" s="2684">
        <f>SUM(H3:H47)</f>
        <v>1076407500</v>
      </c>
      <c r="H48" s="2684"/>
      <c r="I48" s="1048" t="s">
        <v>1927</v>
      </c>
      <c r="J48" s="1048">
        <f t="shared" ref="J48:Q48" si="9">J5+J8+J12+J21+J28+J31+J34+J37+J40+J47</f>
        <v>776488780</v>
      </c>
      <c r="K48" s="1048">
        <f t="shared" si="9"/>
        <v>451420870</v>
      </c>
      <c r="L48" s="1048">
        <f t="shared" si="9"/>
        <v>26887445</v>
      </c>
      <c r="M48" s="1049">
        <f t="shared" si="9"/>
        <v>0</v>
      </c>
      <c r="N48" s="1048">
        <f t="shared" si="9"/>
        <v>107549780</v>
      </c>
      <c r="O48" s="1050">
        <f t="shared" si="9"/>
        <v>343871090</v>
      </c>
      <c r="P48" s="1050">
        <f t="shared" si="9"/>
        <v>53774890</v>
      </c>
      <c r="Q48" s="1050">
        <f t="shared" si="9"/>
        <v>290096200</v>
      </c>
    </row>
    <row r="51" spans="11:19" ht="21.95" customHeight="1">
      <c r="K51" s="1048" t="s">
        <v>2226</v>
      </c>
    </row>
    <row r="52" spans="11:19" ht="21.95" customHeight="1">
      <c r="K52" s="1048" t="s">
        <v>2227</v>
      </c>
    </row>
    <row r="53" spans="11:19" ht="21.95" customHeight="1">
      <c r="K53" s="1048" t="s">
        <v>2228</v>
      </c>
    </row>
    <row r="54" spans="11:19" ht="21.95" customHeight="1">
      <c r="K54" s="1048" t="s">
        <v>2229</v>
      </c>
      <c r="S54" s="1048" t="s">
        <v>2230</v>
      </c>
    </row>
  </sheetData>
  <mergeCells count="2">
    <mergeCell ref="E1:I1"/>
    <mergeCell ref="G48:H48"/>
  </mergeCells>
  <pageMargins left="0.74803149606299213" right="0.7480314960629921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="69" zoomScaleNormal="69" workbookViewId="0">
      <selection activeCell="C11" sqref="C11"/>
    </sheetView>
  </sheetViews>
  <sheetFormatPr defaultRowHeight="26.25"/>
  <cols>
    <col min="1" max="1" width="15" style="1631" bestFit="1" customWidth="1"/>
    <col min="2" max="2" width="35.140625" style="1631" bestFit="1" customWidth="1"/>
    <col min="3" max="4" width="15.85546875" style="1631" bestFit="1" customWidth="1"/>
    <col min="5" max="5" width="18.5703125" style="1631" bestFit="1" customWidth="1"/>
    <col min="6" max="6" width="15.85546875" style="1631" bestFit="1" customWidth="1"/>
    <col min="7" max="16384" width="9.140625" style="1631"/>
  </cols>
  <sheetData>
    <row r="1" spans="1:6">
      <c r="B1" s="1632"/>
      <c r="C1" s="1632">
        <v>1</v>
      </c>
      <c r="D1" s="1632">
        <v>2</v>
      </c>
      <c r="E1" s="1632">
        <v>3</v>
      </c>
      <c r="F1" s="1632">
        <v>4</v>
      </c>
    </row>
    <row r="2" spans="1:6">
      <c r="B2" s="1633" t="s">
        <v>331</v>
      </c>
      <c r="C2" s="1633" t="s">
        <v>2630</v>
      </c>
      <c r="D2" s="1633" t="s">
        <v>2631</v>
      </c>
      <c r="E2" s="1633" t="s">
        <v>2632</v>
      </c>
      <c r="F2" s="1633" t="s">
        <v>2615</v>
      </c>
    </row>
    <row r="3" spans="1:6">
      <c r="B3" s="1633" t="s">
        <v>2616</v>
      </c>
      <c r="C3" s="1632">
        <f>E3*50%</f>
        <v>534.84740783424252</v>
      </c>
      <c r="D3" s="1632">
        <f>E3-C3</f>
        <v>534.84740783424252</v>
      </c>
      <c r="E3" s="1635">
        <f>[6]Summary!$E$8/100</f>
        <v>1069.694815668485</v>
      </c>
      <c r="F3" s="1636">
        <f>[6]Summary!$H$8/100</f>
        <v>990.18327759898466</v>
      </c>
    </row>
    <row r="4" spans="1:6">
      <c r="B4" s="1633" t="s">
        <v>1750</v>
      </c>
      <c r="C4" s="1632">
        <f>E4*50%</f>
        <v>770.97979121679532</v>
      </c>
      <c r="D4" s="1632">
        <f>E4-C4</f>
        <v>770.97979121679532</v>
      </c>
      <c r="E4" s="1636">
        <f>[6]Summary!$F$8/100</f>
        <v>1541.9595824335906</v>
      </c>
      <c r="F4" s="1636">
        <f>[6]Summary!$I$8/100</f>
        <v>1446.3469219483711</v>
      </c>
    </row>
    <row r="7" spans="1:6">
      <c r="B7" s="1633" t="s">
        <v>2629</v>
      </c>
      <c r="C7" s="1634">
        <v>7.8100000000000003E-2</v>
      </c>
    </row>
    <row r="9" spans="1:6">
      <c r="B9" s="1633" t="s">
        <v>2633</v>
      </c>
      <c r="C9" s="1634">
        <v>0.125</v>
      </c>
    </row>
    <row r="10" spans="1:6">
      <c r="B10" s="1633" t="s">
        <v>2634</v>
      </c>
      <c r="C10" s="1634">
        <v>0.14749999999999999</v>
      </c>
    </row>
    <row r="11" spans="1:6">
      <c r="B11" s="1633" t="s">
        <v>2635</v>
      </c>
      <c r="C11" s="1634">
        <v>0.32450000000000001</v>
      </c>
    </row>
    <row r="12" spans="1:6">
      <c r="A12" s="1631" t="s">
        <v>2637</v>
      </c>
      <c r="B12" s="1633" t="s">
        <v>2636</v>
      </c>
      <c r="C12" s="1634">
        <v>0.155</v>
      </c>
    </row>
  </sheetData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X59"/>
  <sheetViews>
    <sheetView zoomScale="70" zoomScaleNormal="70" workbookViewId="0">
      <pane xSplit="2" ySplit="3" topLeftCell="F26" activePane="bottomRight" state="frozen"/>
      <selection pane="topRight" activeCell="B1" sqref="B1"/>
      <selection pane="bottomLeft" activeCell="A3" sqref="A3"/>
      <selection pane="bottomRight" activeCell="A46" sqref="A46"/>
    </sheetView>
  </sheetViews>
  <sheetFormatPr defaultRowHeight="21.95" customHeight="1"/>
  <cols>
    <col min="1" max="1" width="8.7109375" style="1048" customWidth="1"/>
    <col min="2" max="2" width="11.140625" style="1067" customWidth="1"/>
    <col min="3" max="3" width="17" style="1068" customWidth="1"/>
    <col min="4" max="4" width="10.7109375" style="1067" bestFit="1" customWidth="1"/>
    <col min="5" max="5" width="13.42578125" style="1067" customWidth="1"/>
    <col min="6" max="6" width="9.7109375" style="1067" customWidth="1"/>
    <col min="7" max="7" width="11.28515625" style="1067" customWidth="1"/>
    <col min="8" max="8" width="14.42578125" style="1067" customWidth="1"/>
    <col min="9" max="9" width="12.5703125" style="1067" customWidth="1"/>
    <col min="10" max="10" width="16.7109375" style="1067" customWidth="1"/>
    <col min="11" max="11" width="17.42578125" style="1067" customWidth="1"/>
    <col min="12" max="12" width="10.42578125" style="1067" customWidth="1"/>
    <col min="13" max="13" width="16.5703125" style="1069" customWidth="1"/>
    <col min="14" max="14" width="20.140625" style="1067" customWidth="1"/>
    <col min="15" max="17" width="17.7109375" style="1070" customWidth="1"/>
    <col min="18" max="18" width="19.28515625" style="1067" customWidth="1"/>
    <col min="19" max="19" width="8.28515625" style="1067" customWidth="1"/>
    <col min="20" max="20" width="13.5703125" style="1067" bestFit="1" customWidth="1"/>
    <col min="21" max="21" width="15.42578125" style="1067" customWidth="1"/>
    <col min="22" max="16384" width="9.140625" style="1067"/>
  </cols>
  <sheetData>
    <row r="1" spans="1:23" ht="21.95" customHeight="1">
      <c r="E1" s="2683" t="s">
        <v>2162</v>
      </c>
      <c r="F1" s="2683"/>
      <c r="G1" s="2683"/>
      <c r="H1" s="2683"/>
      <c r="I1" s="2683"/>
      <c r="P1" s="1070">
        <v>6</v>
      </c>
    </row>
    <row r="2" spans="1:23" s="1068" customFormat="1" ht="58.5" customHeight="1">
      <c r="A2" s="1071" t="s">
        <v>2163</v>
      </c>
      <c r="B2" s="1072" t="s">
        <v>2070</v>
      </c>
      <c r="C2" s="1053" t="s">
        <v>2071</v>
      </c>
      <c r="D2" s="1072" t="s">
        <v>2072</v>
      </c>
      <c r="E2" s="1072" t="s">
        <v>2073</v>
      </c>
      <c r="F2" s="1072" t="s">
        <v>2074</v>
      </c>
      <c r="G2" s="1072" t="s">
        <v>2075</v>
      </c>
      <c r="H2" s="1072" t="s">
        <v>2076</v>
      </c>
      <c r="I2" s="1072" t="s">
        <v>2077</v>
      </c>
      <c r="J2" s="1072" t="s">
        <v>2078</v>
      </c>
      <c r="K2" s="1003" t="s">
        <v>2079</v>
      </c>
      <c r="L2" s="1072" t="s">
        <v>2080</v>
      </c>
      <c r="M2" s="1073" t="s">
        <v>2164</v>
      </c>
      <c r="N2" s="1074" t="s">
        <v>2165</v>
      </c>
      <c r="O2" s="1075" t="s">
        <v>2166</v>
      </c>
      <c r="P2" s="1075" t="s">
        <v>2167</v>
      </c>
      <c r="Q2" s="1075" t="s">
        <v>2168</v>
      </c>
      <c r="R2" s="1072" t="s">
        <v>2169</v>
      </c>
      <c r="S2" s="1072" t="s">
        <v>2170</v>
      </c>
    </row>
    <row r="3" spans="1:23" ht="21.95" customHeight="1">
      <c r="B3" s="1076"/>
      <c r="C3" s="1072"/>
      <c r="D3" s="1076"/>
      <c r="E3" s="1076"/>
      <c r="F3" s="1076"/>
      <c r="G3" s="1076"/>
      <c r="H3" s="1076"/>
      <c r="I3" s="1076"/>
      <c r="J3" s="1076"/>
      <c r="K3" s="1076"/>
      <c r="L3" s="1076"/>
      <c r="M3" s="1077"/>
      <c r="N3" s="1076"/>
      <c r="O3" s="1078"/>
      <c r="P3" s="1078"/>
      <c r="Q3" s="1078"/>
      <c r="R3" s="1076"/>
      <c r="S3" s="1076"/>
      <c r="T3" s="1079"/>
    </row>
    <row r="4" spans="1:23" ht="31.5" customHeight="1">
      <c r="A4" s="1048">
        <v>1</v>
      </c>
      <c r="B4" s="1080">
        <v>161216</v>
      </c>
      <c r="C4" s="1081" t="s">
        <v>2171</v>
      </c>
      <c r="D4" s="1082" t="s">
        <v>2172</v>
      </c>
      <c r="E4" s="1082" t="s">
        <v>2172</v>
      </c>
      <c r="F4" s="1082">
        <v>156</v>
      </c>
      <c r="G4" s="1082">
        <v>36</v>
      </c>
      <c r="H4" s="1083">
        <v>41335900</v>
      </c>
      <c r="I4" s="1082" t="s">
        <v>2173</v>
      </c>
      <c r="J4" s="1082">
        <v>8267200</v>
      </c>
      <c r="K4" s="1082">
        <v>4960322</v>
      </c>
      <c r="L4" s="1082">
        <v>68894</v>
      </c>
      <c r="M4" s="1084"/>
      <c r="N4" s="1082">
        <f t="shared" ref="N4:N14" si="0">L4*12</f>
        <v>826728</v>
      </c>
      <c r="O4" s="1085">
        <f>K4-N4</f>
        <v>4133594</v>
      </c>
      <c r="P4" s="1085">
        <f>L4*$P$1</f>
        <v>413364</v>
      </c>
      <c r="Q4" s="1085">
        <f>O4-P4</f>
        <v>3720230</v>
      </c>
      <c r="R4" s="1082" t="s">
        <v>2174</v>
      </c>
      <c r="S4" s="1082">
        <v>9.5</v>
      </c>
      <c r="T4" s="1086"/>
      <c r="U4" s="1087"/>
      <c r="V4" s="1087"/>
      <c r="W4" s="1087"/>
    </row>
    <row r="5" spans="1:23" ht="21.95" customHeight="1">
      <c r="B5" s="1083">
        <v>161216</v>
      </c>
      <c r="C5" s="1074"/>
      <c r="D5" s="1082" t="s">
        <v>2172</v>
      </c>
      <c r="E5" s="1082" t="s">
        <v>2172</v>
      </c>
      <c r="F5" s="1082">
        <v>156</v>
      </c>
      <c r="G5" s="1082">
        <v>36</v>
      </c>
      <c r="H5" s="1083"/>
      <c r="I5" s="1082" t="s">
        <v>2173</v>
      </c>
      <c r="J5" s="1082">
        <v>24325600</v>
      </c>
      <c r="K5" s="1082">
        <v>14595360</v>
      </c>
      <c r="L5" s="1082">
        <v>202713</v>
      </c>
      <c r="M5" s="1084"/>
      <c r="N5" s="1082">
        <f t="shared" si="0"/>
        <v>2432556</v>
      </c>
      <c r="O5" s="1085">
        <f>K5-N5</f>
        <v>12162804</v>
      </c>
      <c r="P5" s="1085">
        <f t="shared" ref="P5:P42" si="1">L5*$P$1</f>
        <v>1216278</v>
      </c>
      <c r="Q5" s="1085">
        <f t="shared" ref="Q5:Q42" si="2">O5-P5</f>
        <v>10946526</v>
      </c>
      <c r="R5" s="1082" t="s">
        <v>2174</v>
      </c>
      <c r="S5" s="1082">
        <v>9.5</v>
      </c>
      <c r="T5" s="1086"/>
      <c r="U5" s="1087"/>
      <c r="V5" s="1087"/>
      <c r="W5" s="1087"/>
    </row>
    <row r="6" spans="1:23" ht="21.95" customHeight="1">
      <c r="B6" s="1083">
        <v>161216</v>
      </c>
      <c r="C6" s="1074"/>
      <c r="D6" s="1082" t="s">
        <v>2172</v>
      </c>
      <c r="E6" s="1082" t="s">
        <v>2172</v>
      </c>
      <c r="F6" s="1082">
        <v>156</v>
      </c>
      <c r="G6" s="1082">
        <v>36</v>
      </c>
      <c r="H6" s="1083"/>
      <c r="I6" s="1082" t="s">
        <v>2175</v>
      </c>
      <c r="J6" s="1082">
        <v>8743100</v>
      </c>
      <c r="K6" s="1082">
        <v>5245860</v>
      </c>
      <c r="L6" s="1082">
        <v>72859</v>
      </c>
      <c r="M6" s="1084"/>
      <c r="N6" s="1082">
        <f t="shared" si="0"/>
        <v>874308</v>
      </c>
      <c r="O6" s="1085">
        <f>K6-N6</f>
        <v>4371552</v>
      </c>
      <c r="P6" s="1085">
        <f t="shared" si="1"/>
        <v>437154</v>
      </c>
      <c r="Q6" s="1085">
        <f t="shared" si="2"/>
        <v>3934398</v>
      </c>
      <c r="R6" s="1082" t="s">
        <v>2174</v>
      </c>
      <c r="S6" s="1082">
        <v>9.5</v>
      </c>
      <c r="T6" s="1086"/>
      <c r="U6" s="1087"/>
      <c r="V6" s="1087"/>
      <c r="W6" s="1087"/>
    </row>
    <row r="7" spans="1:23" ht="21.95" customHeight="1">
      <c r="B7" s="1083"/>
      <c r="C7" s="1074"/>
      <c r="D7" s="1082"/>
      <c r="E7" s="1082"/>
      <c r="F7" s="1082"/>
      <c r="G7" s="1082"/>
      <c r="H7" s="1083"/>
      <c r="I7" s="1082"/>
      <c r="J7" s="1083">
        <f>SUM(J4:J6)</f>
        <v>41335900</v>
      </c>
      <c r="K7" s="1083">
        <f>SUM(K4:K6)</f>
        <v>24801542</v>
      </c>
      <c r="L7" s="1083">
        <f>SUM(L4:L6)</f>
        <v>344466</v>
      </c>
      <c r="M7" s="1088">
        <f>SUM(M4:M6)</f>
        <v>0</v>
      </c>
      <c r="N7" s="1083">
        <f t="shared" si="0"/>
        <v>4133592</v>
      </c>
      <c r="O7" s="1089">
        <f>SUM(O4:O6)</f>
        <v>20667950</v>
      </c>
      <c r="P7" s="1085">
        <f t="shared" si="1"/>
        <v>2066796</v>
      </c>
      <c r="Q7" s="1089">
        <f t="shared" si="2"/>
        <v>18601154</v>
      </c>
      <c r="R7" s="1082"/>
      <c r="S7" s="1082"/>
      <c r="T7" s="1090"/>
      <c r="U7" s="1087"/>
      <c r="V7" s="1087"/>
      <c r="W7" s="1087"/>
    </row>
    <row r="8" spans="1:23" ht="21.95" customHeight="1">
      <c r="A8" s="1048">
        <v>2</v>
      </c>
      <c r="B8" s="1080">
        <v>161217</v>
      </c>
      <c r="C8" s="1081" t="s">
        <v>2171</v>
      </c>
      <c r="D8" s="1082" t="s">
        <v>2172</v>
      </c>
      <c r="E8" s="1082" t="s">
        <v>2172</v>
      </c>
      <c r="F8" s="1082">
        <v>156</v>
      </c>
      <c r="G8" s="1082">
        <v>36</v>
      </c>
      <c r="H8" s="1083">
        <v>41335900</v>
      </c>
      <c r="I8" s="1082" t="s">
        <v>2173</v>
      </c>
      <c r="J8" s="1082">
        <v>8267200</v>
      </c>
      <c r="K8" s="1082">
        <v>4960322</v>
      </c>
      <c r="L8" s="1082">
        <v>68894</v>
      </c>
      <c r="M8" s="1084"/>
      <c r="N8" s="1082">
        <f t="shared" si="0"/>
        <v>826728</v>
      </c>
      <c r="O8" s="1085">
        <f>K8-N8</f>
        <v>4133594</v>
      </c>
      <c r="P8" s="1085">
        <f t="shared" si="1"/>
        <v>413364</v>
      </c>
      <c r="Q8" s="1085">
        <f t="shared" si="2"/>
        <v>3720230</v>
      </c>
      <c r="R8" s="1082" t="s">
        <v>2174</v>
      </c>
      <c r="S8" s="1082">
        <v>9.5</v>
      </c>
      <c r="U8" s="1087"/>
      <c r="V8" s="1087"/>
      <c r="W8" s="1087"/>
    </row>
    <row r="9" spans="1:23" ht="21.95" customHeight="1">
      <c r="B9" s="1083">
        <v>161217</v>
      </c>
      <c r="C9" s="1074"/>
      <c r="D9" s="1082" t="s">
        <v>2172</v>
      </c>
      <c r="E9" s="1082" t="s">
        <v>2172</v>
      </c>
      <c r="F9" s="1082">
        <v>156</v>
      </c>
      <c r="G9" s="1082">
        <v>36</v>
      </c>
      <c r="H9" s="1083"/>
      <c r="I9" s="1082" t="s">
        <v>2173</v>
      </c>
      <c r="J9" s="1082">
        <v>24325600</v>
      </c>
      <c r="K9" s="1082">
        <v>14595360</v>
      </c>
      <c r="L9" s="1082">
        <v>202713</v>
      </c>
      <c r="M9" s="1084"/>
      <c r="N9" s="1082">
        <f t="shared" si="0"/>
        <v>2432556</v>
      </c>
      <c r="O9" s="1085">
        <f>K9-N9</f>
        <v>12162804</v>
      </c>
      <c r="P9" s="1085">
        <f t="shared" si="1"/>
        <v>1216278</v>
      </c>
      <c r="Q9" s="1085">
        <f t="shared" si="2"/>
        <v>10946526</v>
      </c>
      <c r="R9" s="1082" t="s">
        <v>2174</v>
      </c>
      <c r="S9" s="1082">
        <v>9.5</v>
      </c>
      <c r="U9" s="1087"/>
      <c r="V9" s="1087"/>
      <c r="W9" s="1087"/>
    </row>
    <row r="10" spans="1:23" ht="21.95" customHeight="1">
      <c r="B10" s="1083">
        <v>161217</v>
      </c>
      <c r="C10" s="1074"/>
      <c r="D10" s="1082" t="s">
        <v>2172</v>
      </c>
      <c r="E10" s="1082" t="s">
        <v>2172</v>
      </c>
      <c r="F10" s="1082">
        <v>156</v>
      </c>
      <c r="G10" s="1082">
        <v>36</v>
      </c>
      <c r="H10" s="1083"/>
      <c r="I10" s="1082" t="s">
        <v>2175</v>
      </c>
      <c r="J10" s="1082">
        <v>8743100</v>
      </c>
      <c r="K10" s="1082">
        <v>5245860</v>
      </c>
      <c r="L10" s="1082">
        <v>72859</v>
      </c>
      <c r="M10" s="1084"/>
      <c r="N10" s="1082">
        <f t="shared" si="0"/>
        <v>874308</v>
      </c>
      <c r="O10" s="1085">
        <f>K10-N10</f>
        <v>4371552</v>
      </c>
      <c r="P10" s="1085">
        <f t="shared" si="1"/>
        <v>437154</v>
      </c>
      <c r="Q10" s="1085">
        <f t="shared" si="2"/>
        <v>3934398</v>
      </c>
      <c r="R10" s="1082" t="s">
        <v>2174</v>
      </c>
      <c r="S10" s="1082">
        <v>9.5</v>
      </c>
      <c r="U10" s="1087"/>
      <c r="V10" s="1087"/>
      <c r="W10" s="1087"/>
    </row>
    <row r="11" spans="1:23" ht="21.95" customHeight="1">
      <c r="B11" s="1083"/>
      <c r="C11" s="1074"/>
      <c r="D11" s="1082"/>
      <c r="E11" s="1082"/>
      <c r="F11" s="1082"/>
      <c r="G11" s="1082"/>
      <c r="H11" s="1083"/>
      <c r="I11" s="1082"/>
      <c r="J11" s="1083">
        <f>SUM(J8:J10)</f>
        <v>41335900</v>
      </c>
      <c r="K11" s="1083">
        <f>SUM(K8:K10)</f>
        <v>24801542</v>
      </c>
      <c r="L11" s="1083">
        <f>SUM(L8:L10)</f>
        <v>344466</v>
      </c>
      <c r="M11" s="1088">
        <f>SUM(M8:M10)</f>
        <v>0</v>
      </c>
      <c r="N11" s="1083">
        <f t="shared" si="0"/>
        <v>4133592</v>
      </c>
      <c r="O11" s="1089">
        <f>SUM(O8:O10)</f>
        <v>20667950</v>
      </c>
      <c r="P11" s="1089">
        <f>L11*$P$1</f>
        <v>2066796</v>
      </c>
      <c r="Q11" s="1089">
        <f t="shared" si="2"/>
        <v>18601154</v>
      </c>
      <c r="R11" s="1082"/>
      <c r="S11" s="1082"/>
      <c r="U11" s="1087"/>
      <c r="V11" s="1087"/>
      <c r="W11" s="1087"/>
    </row>
    <row r="12" spans="1:23" ht="30" customHeight="1">
      <c r="A12" s="1048">
        <v>3</v>
      </c>
      <c r="B12" s="1080">
        <v>161218</v>
      </c>
      <c r="C12" s="1081" t="s">
        <v>2171</v>
      </c>
      <c r="D12" s="1082" t="s">
        <v>2172</v>
      </c>
      <c r="E12" s="1082" t="s">
        <v>2172</v>
      </c>
      <c r="F12" s="1082">
        <v>156</v>
      </c>
      <c r="G12" s="1082">
        <v>36</v>
      </c>
      <c r="H12" s="1083">
        <v>41335900</v>
      </c>
      <c r="I12" s="1082" t="s">
        <v>2173</v>
      </c>
      <c r="J12" s="1082">
        <v>8267200</v>
      </c>
      <c r="K12" s="1082">
        <v>4960322</v>
      </c>
      <c r="L12" s="1082">
        <v>68894</v>
      </c>
      <c r="M12" s="1084"/>
      <c r="N12" s="1082">
        <f t="shared" si="0"/>
        <v>826728</v>
      </c>
      <c r="O12" s="1085">
        <f>K12-N12</f>
        <v>4133594</v>
      </c>
      <c r="P12" s="1085">
        <f t="shared" si="1"/>
        <v>413364</v>
      </c>
      <c r="Q12" s="1085">
        <f t="shared" si="2"/>
        <v>3720230</v>
      </c>
      <c r="R12" s="1082" t="s">
        <v>2174</v>
      </c>
      <c r="S12" s="1082">
        <v>9.5</v>
      </c>
      <c r="U12" s="1087"/>
      <c r="V12" s="1087"/>
      <c r="W12" s="1087"/>
    </row>
    <row r="13" spans="1:23" ht="21.95" customHeight="1">
      <c r="B13" s="1083">
        <v>161218</v>
      </c>
      <c r="C13" s="1074"/>
      <c r="D13" s="1082" t="s">
        <v>2172</v>
      </c>
      <c r="E13" s="1082" t="s">
        <v>2172</v>
      </c>
      <c r="F13" s="1082">
        <v>156</v>
      </c>
      <c r="G13" s="1082">
        <v>36</v>
      </c>
      <c r="H13" s="1083"/>
      <c r="I13" s="1082" t="s">
        <v>2173</v>
      </c>
      <c r="J13" s="1082">
        <v>24325600</v>
      </c>
      <c r="K13" s="1082">
        <v>14595360</v>
      </c>
      <c r="L13" s="1082">
        <v>202713</v>
      </c>
      <c r="M13" s="1084"/>
      <c r="N13" s="1082">
        <f t="shared" si="0"/>
        <v>2432556</v>
      </c>
      <c r="O13" s="1085">
        <f>K13-N13</f>
        <v>12162804</v>
      </c>
      <c r="P13" s="1085">
        <f t="shared" si="1"/>
        <v>1216278</v>
      </c>
      <c r="Q13" s="1085">
        <f t="shared" si="2"/>
        <v>10946526</v>
      </c>
      <c r="R13" s="1082" t="s">
        <v>2174</v>
      </c>
      <c r="S13" s="1082">
        <v>9.5</v>
      </c>
      <c r="U13" s="1087"/>
      <c r="V13" s="1087"/>
      <c r="W13" s="1087"/>
    </row>
    <row r="14" spans="1:23" ht="21.95" customHeight="1">
      <c r="B14" s="1083">
        <v>161218</v>
      </c>
      <c r="C14" s="1074"/>
      <c r="D14" s="1082" t="s">
        <v>2172</v>
      </c>
      <c r="E14" s="1082" t="s">
        <v>2172</v>
      </c>
      <c r="F14" s="1082">
        <v>156</v>
      </c>
      <c r="G14" s="1082">
        <v>36</v>
      </c>
      <c r="H14" s="1083"/>
      <c r="I14" s="1082" t="s">
        <v>2176</v>
      </c>
      <c r="J14" s="1082">
        <v>8743100</v>
      </c>
      <c r="K14" s="1082">
        <v>5245860</v>
      </c>
      <c r="L14" s="1082">
        <v>72859</v>
      </c>
      <c r="M14" s="1084"/>
      <c r="N14" s="1082">
        <f t="shared" si="0"/>
        <v>874308</v>
      </c>
      <c r="O14" s="1085">
        <f>K14-N14</f>
        <v>4371552</v>
      </c>
      <c r="P14" s="1085">
        <f t="shared" si="1"/>
        <v>437154</v>
      </c>
      <c r="Q14" s="1085">
        <f t="shared" si="2"/>
        <v>3934398</v>
      </c>
      <c r="R14" s="1082" t="s">
        <v>2174</v>
      </c>
      <c r="S14" s="1082">
        <v>9.5</v>
      </c>
      <c r="U14" s="1087"/>
      <c r="V14" s="1087"/>
      <c r="W14" s="1087"/>
    </row>
    <row r="15" spans="1:23" ht="21.95" customHeight="1">
      <c r="B15" s="1083"/>
      <c r="C15" s="1074"/>
      <c r="D15" s="1082"/>
      <c r="E15" s="1082"/>
      <c r="F15" s="1082"/>
      <c r="G15" s="1082"/>
      <c r="H15" s="1083"/>
      <c r="I15" s="1082"/>
      <c r="J15" s="1083">
        <f t="shared" ref="J15:O15" si="3">SUM(J12:J14)</f>
        <v>41335900</v>
      </c>
      <c r="K15" s="1083">
        <f t="shared" si="3"/>
        <v>24801542</v>
      </c>
      <c r="L15" s="1083">
        <f t="shared" si="3"/>
        <v>344466</v>
      </c>
      <c r="M15" s="1088">
        <f t="shared" si="3"/>
        <v>0</v>
      </c>
      <c r="N15" s="1083">
        <f t="shared" si="3"/>
        <v>4133592</v>
      </c>
      <c r="O15" s="1089">
        <f t="shared" si="3"/>
        <v>20667950</v>
      </c>
      <c r="P15" s="1089">
        <f t="shared" si="1"/>
        <v>2066796</v>
      </c>
      <c r="Q15" s="1089">
        <f t="shared" si="2"/>
        <v>18601154</v>
      </c>
      <c r="R15" s="1082"/>
      <c r="S15" s="1082"/>
      <c r="U15" s="1087"/>
      <c r="V15" s="1087"/>
      <c r="W15" s="1087"/>
    </row>
    <row r="16" spans="1:23" ht="28.5" customHeight="1">
      <c r="A16" s="1048">
        <v>4</v>
      </c>
      <c r="B16" s="1080">
        <v>161222</v>
      </c>
      <c r="C16" s="1081" t="s">
        <v>2171</v>
      </c>
      <c r="D16" s="1082" t="s">
        <v>2172</v>
      </c>
      <c r="E16" s="1082" t="s">
        <v>2172</v>
      </c>
      <c r="F16" s="1082">
        <v>156</v>
      </c>
      <c r="G16" s="1082">
        <v>36</v>
      </c>
      <c r="H16" s="1083">
        <v>80800000</v>
      </c>
      <c r="I16" s="1082" t="s">
        <v>2173</v>
      </c>
      <c r="J16" s="1082">
        <v>16160000</v>
      </c>
      <c r="K16" s="1082">
        <v>9695984</v>
      </c>
      <c r="L16" s="1082">
        <v>134667</v>
      </c>
      <c r="M16" s="1084"/>
      <c r="N16" s="1082">
        <f>L16*12</f>
        <v>1616004</v>
      </c>
      <c r="O16" s="1085">
        <f>K16-N16</f>
        <v>8079980</v>
      </c>
      <c r="P16" s="1085">
        <f t="shared" si="1"/>
        <v>808002</v>
      </c>
      <c r="Q16" s="1085">
        <f t="shared" si="2"/>
        <v>7271978</v>
      </c>
      <c r="R16" s="1082" t="s">
        <v>2174</v>
      </c>
      <c r="S16" s="1082">
        <v>9.5</v>
      </c>
      <c r="U16" s="1087"/>
      <c r="V16" s="1087"/>
      <c r="W16" s="1087"/>
    </row>
    <row r="17" spans="1:23" ht="21.95" customHeight="1">
      <c r="B17" s="1083">
        <v>161222</v>
      </c>
      <c r="C17" s="1074"/>
      <c r="D17" s="1082" t="s">
        <v>2172</v>
      </c>
      <c r="E17" s="1082" t="s">
        <v>2172</v>
      </c>
      <c r="F17" s="1082">
        <v>156</v>
      </c>
      <c r="G17" s="1082">
        <v>36</v>
      </c>
      <c r="H17" s="1083"/>
      <c r="I17" s="1082" t="s">
        <v>2177</v>
      </c>
      <c r="J17" s="1082">
        <v>216000</v>
      </c>
      <c r="K17" s="1082">
        <v>136393</v>
      </c>
      <c r="L17" s="1082">
        <v>1894</v>
      </c>
      <c r="M17" s="1084"/>
      <c r="N17" s="1082">
        <v>22729</v>
      </c>
      <c r="O17" s="1085">
        <f>K17-N17</f>
        <v>113664</v>
      </c>
      <c r="P17" s="1085">
        <f t="shared" si="1"/>
        <v>11364</v>
      </c>
      <c r="Q17" s="1085">
        <f t="shared" si="2"/>
        <v>102300</v>
      </c>
      <c r="R17" s="1082" t="s">
        <v>2177</v>
      </c>
      <c r="S17" s="1082">
        <v>11.5</v>
      </c>
      <c r="U17" s="1087"/>
      <c r="V17" s="1087"/>
      <c r="W17" s="1087"/>
    </row>
    <row r="18" spans="1:23" ht="21.95" customHeight="1">
      <c r="B18" s="1083">
        <v>161222</v>
      </c>
      <c r="C18" s="1074"/>
      <c r="D18" s="1082" t="s">
        <v>2172</v>
      </c>
      <c r="E18" s="1082" t="s">
        <v>2172</v>
      </c>
      <c r="F18" s="1082">
        <v>156</v>
      </c>
      <c r="G18" s="1082">
        <v>36</v>
      </c>
      <c r="H18" s="1083"/>
      <c r="I18" s="1082" t="s">
        <v>2111</v>
      </c>
      <c r="J18" s="1082">
        <v>7275600</v>
      </c>
      <c r="K18" s="1082">
        <v>6984576</v>
      </c>
      <c r="L18" s="1082">
        <v>97008</v>
      </c>
      <c r="M18" s="1084"/>
      <c r="N18" s="1082">
        <f>L18*12</f>
        <v>1164096</v>
      </c>
      <c r="O18" s="1085">
        <f>K18-N18</f>
        <v>5820480</v>
      </c>
      <c r="P18" s="1085">
        <f t="shared" si="1"/>
        <v>582048</v>
      </c>
      <c r="Q18" s="1085">
        <f t="shared" si="2"/>
        <v>5238432</v>
      </c>
      <c r="R18" s="1082" t="s">
        <v>2178</v>
      </c>
      <c r="S18" s="1082">
        <v>11</v>
      </c>
      <c r="U18" s="1087"/>
      <c r="V18" s="1087"/>
      <c r="W18" s="1087"/>
    </row>
    <row r="19" spans="1:23" ht="21.95" customHeight="1">
      <c r="B19" s="1083"/>
      <c r="C19" s="1074"/>
      <c r="D19" s="1082"/>
      <c r="E19" s="1082"/>
      <c r="F19" s="1082"/>
      <c r="G19" s="1082"/>
      <c r="H19" s="1083"/>
      <c r="I19" s="1091">
        <v>40525</v>
      </c>
      <c r="J19" s="1082"/>
      <c r="K19" s="1082"/>
      <c r="L19" s="1082">
        <v>110145</v>
      </c>
      <c r="M19" s="1084">
        <v>7049280</v>
      </c>
      <c r="N19" s="1082">
        <f>L19*4</f>
        <v>440580</v>
      </c>
      <c r="O19" s="1085">
        <f>M19-N19</f>
        <v>6608700</v>
      </c>
      <c r="P19" s="1085">
        <f t="shared" si="1"/>
        <v>660870</v>
      </c>
      <c r="Q19" s="1085">
        <f t="shared" si="2"/>
        <v>5947830</v>
      </c>
      <c r="R19" s="1091">
        <v>40543</v>
      </c>
      <c r="S19" s="1082">
        <v>11</v>
      </c>
      <c r="U19" s="1087"/>
      <c r="V19" s="1087"/>
      <c r="W19" s="1087"/>
    </row>
    <row r="20" spans="1:23" ht="21.95" customHeight="1">
      <c r="B20" s="1083"/>
      <c r="C20" s="1074"/>
      <c r="D20" s="1082"/>
      <c r="E20" s="1082"/>
      <c r="F20" s="1082"/>
      <c r="G20" s="1082"/>
      <c r="H20" s="1083"/>
      <c r="I20" s="1091">
        <v>40541</v>
      </c>
      <c r="J20" s="1082"/>
      <c r="K20" s="1082"/>
      <c r="L20" s="1092">
        <v>573540</v>
      </c>
      <c r="M20" s="1084">
        <v>36706600</v>
      </c>
      <c r="N20" s="1082">
        <f>L20*4</f>
        <v>2294160</v>
      </c>
      <c r="O20" s="1085">
        <f>M20-N20</f>
        <v>34412440</v>
      </c>
      <c r="P20" s="1085">
        <f t="shared" si="1"/>
        <v>3441240</v>
      </c>
      <c r="Q20" s="1085">
        <f t="shared" si="2"/>
        <v>30971200</v>
      </c>
      <c r="R20" s="1091">
        <v>40543</v>
      </c>
      <c r="S20" s="1082">
        <v>11</v>
      </c>
      <c r="U20" s="1087"/>
      <c r="V20" s="1087"/>
      <c r="W20" s="1087"/>
    </row>
    <row r="21" spans="1:23" ht="21.95" customHeight="1">
      <c r="B21" s="1083"/>
      <c r="C21" s="1074"/>
      <c r="D21" s="1082"/>
      <c r="E21" s="1082"/>
      <c r="F21" s="1082"/>
      <c r="G21" s="1082"/>
      <c r="H21" s="1083"/>
      <c r="I21" s="1082"/>
      <c r="J21" s="1083">
        <f>SUM(J16:J20)</f>
        <v>23651600</v>
      </c>
      <c r="K21" s="1083">
        <f>SUM(K16:K18)</f>
        <v>16816953</v>
      </c>
      <c r="L21" s="1083">
        <f>SUM(L16:L20)</f>
        <v>917254</v>
      </c>
      <c r="M21" s="1088">
        <f>SUM(M16:M20)</f>
        <v>43755880</v>
      </c>
      <c r="N21" s="1083">
        <f>SUM(N16:N20)</f>
        <v>5537569</v>
      </c>
      <c r="O21" s="1083">
        <f>SUM(O16:O20)</f>
        <v>55035264</v>
      </c>
      <c r="P21" s="1089">
        <f t="shared" si="1"/>
        <v>5503524</v>
      </c>
      <c r="Q21" s="1089">
        <f t="shared" si="2"/>
        <v>49531740</v>
      </c>
      <c r="R21" s="1082"/>
      <c r="S21" s="1082"/>
      <c r="U21" s="1087"/>
      <c r="V21" s="1087"/>
      <c r="W21" s="1087"/>
    </row>
    <row r="22" spans="1:23" ht="30.75" customHeight="1">
      <c r="A22" s="1048">
        <v>5</v>
      </c>
      <c r="B22" s="1080">
        <v>161223</v>
      </c>
      <c r="C22" s="1081" t="s">
        <v>2171</v>
      </c>
      <c r="D22" s="1082" t="s">
        <v>2172</v>
      </c>
      <c r="E22" s="1082" t="s">
        <v>2172</v>
      </c>
      <c r="F22" s="1082">
        <v>156</v>
      </c>
      <c r="G22" s="1082">
        <v>36</v>
      </c>
      <c r="H22" s="1083">
        <v>85900000</v>
      </c>
      <c r="I22" s="1082" t="s">
        <v>2173</v>
      </c>
      <c r="J22" s="1082">
        <v>24325600</v>
      </c>
      <c r="K22" s="1082">
        <v>14595363</v>
      </c>
      <c r="L22" s="1082">
        <v>202713</v>
      </c>
      <c r="M22" s="1084"/>
      <c r="N22" s="1082">
        <f t="shared" ref="N22:N30" si="4">L22*12</f>
        <v>2432556</v>
      </c>
      <c r="O22" s="1085">
        <f t="shared" ref="O22:O30" si="5">K22-N22</f>
        <v>12162807</v>
      </c>
      <c r="P22" s="1085">
        <f t="shared" si="1"/>
        <v>1216278</v>
      </c>
      <c r="Q22" s="1085">
        <f t="shared" si="2"/>
        <v>10946529</v>
      </c>
      <c r="R22" s="1082" t="s">
        <v>2174</v>
      </c>
      <c r="S22" s="1082">
        <v>9.5</v>
      </c>
      <c r="U22" s="1087"/>
      <c r="V22" s="1087"/>
      <c r="W22" s="1087"/>
    </row>
    <row r="23" spans="1:23" ht="21.95" customHeight="1">
      <c r="B23" s="1083">
        <v>161223</v>
      </c>
      <c r="C23" s="1074"/>
      <c r="D23" s="1082" t="s">
        <v>2172</v>
      </c>
      <c r="E23" s="1082" t="s">
        <v>2172</v>
      </c>
      <c r="F23" s="1082">
        <v>156</v>
      </c>
      <c r="G23" s="1082">
        <v>36</v>
      </c>
      <c r="H23" s="1083"/>
      <c r="I23" s="1082" t="s">
        <v>2173</v>
      </c>
      <c r="J23" s="1082">
        <v>17180000</v>
      </c>
      <c r="K23" s="1082">
        <v>10307997</v>
      </c>
      <c r="L23" s="1082">
        <v>143167</v>
      </c>
      <c r="M23" s="1084"/>
      <c r="N23" s="1082">
        <f t="shared" si="4"/>
        <v>1718004</v>
      </c>
      <c r="O23" s="1085">
        <f t="shared" si="5"/>
        <v>8589993</v>
      </c>
      <c r="P23" s="1085">
        <f t="shared" si="1"/>
        <v>859002</v>
      </c>
      <c r="Q23" s="1085">
        <f t="shared" si="2"/>
        <v>7730991</v>
      </c>
      <c r="R23" s="1082" t="s">
        <v>2174</v>
      </c>
      <c r="S23" s="1082">
        <v>9.5</v>
      </c>
      <c r="U23" s="1087"/>
      <c r="V23" s="1087"/>
      <c r="W23" s="1087"/>
    </row>
    <row r="24" spans="1:23" ht="21.95" customHeight="1">
      <c r="B24" s="1083">
        <v>161223</v>
      </c>
      <c r="C24" s="1074"/>
      <c r="D24" s="1082" t="s">
        <v>2172</v>
      </c>
      <c r="E24" s="1082" t="s">
        <v>2172</v>
      </c>
      <c r="F24" s="1082">
        <v>156</v>
      </c>
      <c r="G24" s="1082">
        <v>36</v>
      </c>
      <c r="H24" s="1083"/>
      <c r="I24" s="1082" t="s">
        <v>2179</v>
      </c>
      <c r="J24" s="1082">
        <v>10921000</v>
      </c>
      <c r="K24" s="1082">
        <v>5792449</v>
      </c>
      <c r="L24" s="1082">
        <v>80450</v>
      </c>
      <c r="M24" s="1084"/>
      <c r="N24" s="1082">
        <f t="shared" si="4"/>
        <v>965400</v>
      </c>
      <c r="O24" s="1085">
        <f t="shared" si="5"/>
        <v>4827049</v>
      </c>
      <c r="P24" s="1085">
        <f t="shared" si="1"/>
        <v>482700</v>
      </c>
      <c r="Q24" s="1085">
        <f t="shared" si="2"/>
        <v>4344349</v>
      </c>
      <c r="R24" s="1082" t="s">
        <v>2174</v>
      </c>
      <c r="S24" s="1082">
        <v>9</v>
      </c>
      <c r="U24" s="1087"/>
      <c r="V24" s="1087"/>
      <c r="W24" s="1087"/>
    </row>
    <row r="25" spans="1:23" ht="21.95" customHeight="1">
      <c r="B25" s="1083">
        <v>161223</v>
      </c>
      <c r="C25" s="1074"/>
      <c r="D25" s="1082" t="s">
        <v>2172</v>
      </c>
      <c r="E25" s="1082" t="s">
        <v>2172</v>
      </c>
      <c r="F25" s="1082">
        <v>156</v>
      </c>
      <c r="G25" s="1082">
        <v>36</v>
      </c>
      <c r="H25" s="1083"/>
      <c r="I25" s="1082" t="s">
        <v>2180</v>
      </c>
      <c r="J25" s="1082">
        <v>20135000</v>
      </c>
      <c r="K25" s="1082">
        <v>10679487</v>
      </c>
      <c r="L25" s="1082">
        <v>148327</v>
      </c>
      <c r="M25" s="1084"/>
      <c r="N25" s="1082">
        <f t="shared" si="4"/>
        <v>1779924</v>
      </c>
      <c r="O25" s="1085">
        <f t="shared" si="5"/>
        <v>8899563</v>
      </c>
      <c r="P25" s="1085">
        <f t="shared" si="1"/>
        <v>889962</v>
      </c>
      <c r="Q25" s="1085">
        <f t="shared" si="2"/>
        <v>8009601</v>
      </c>
      <c r="R25" s="1082" t="s">
        <v>2174</v>
      </c>
      <c r="S25" s="1082">
        <v>9</v>
      </c>
      <c r="U25" s="1087"/>
      <c r="V25" s="1087"/>
      <c r="W25" s="1087"/>
    </row>
    <row r="26" spans="1:23" ht="21.95" customHeight="1">
      <c r="B26" s="1083"/>
      <c r="C26" s="1074"/>
      <c r="D26" s="1082"/>
      <c r="E26" s="1082"/>
      <c r="F26" s="1082"/>
      <c r="G26" s="1082"/>
      <c r="H26" s="1083"/>
      <c r="I26" s="1082"/>
      <c r="J26" s="1083">
        <f>SUM(J22:J25)</f>
        <v>72561600</v>
      </c>
      <c r="K26" s="1083">
        <f>SUM(K22:K25)</f>
        <v>41375296</v>
      </c>
      <c r="L26" s="1083">
        <f>SUM(L22:L25)</f>
        <v>574657</v>
      </c>
      <c r="M26" s="1088">
        <f>SUM(M22:M25)</f>
        <v>0</v>
      </c>
      <c r="N26" s="1083">
        <f t="shared" si="4"/>
        <v>6895884</v>
      </c>
      <c r="O26" s="1089">
        <f t="shared" si="5"/>
        <v>34479412</v>
      </c>
      <c r="P26" s="1089">
        <f t="shared" si="1"/>
        <v>3447942</v>
      </c>
      <c r="Q26" s="1089">
        <f t="shared" si="2"/>
        <v>31031470</v>
      </c>
      <c r="R26" s="1082"/>
      <c r="S26" s="1082"/>
      <c r="U26" s="1087"/>
      <c r="V26" s="1087"/>
      <c r="W26" s="1087"/>
    </row>
    <row r="27" spans="1:23" ht="31.5" customHeight="1">
      <c r="A27" s="1048">
        <v>6</v>
      </c>
      <c r="B27" s="1080">
        <v>161225</v>
      </c>
      <c r="C27" s="1081" t="s">
        <v>2171</v>
      </c>
      <c r="D27" s="1082" t="s">
        <v>2172</v>
      </c>
      <c r="E27" s="1082" t="s">
        <v>2172</v>
      </c>
      <c r="F27" s="1082">
        <v>156</v>
      </c>
      <c r="G27" s="1082">
        <v>36</v>
      </c>
      <c r="H27" s="1083">
        <v>68375000</v>
      </c>
      <c r="I27" s="1082" t="s">
        <v>2173</v>
      </c>
      <c r="J27" s="1082">
        <v>13675000</v>
      </c>
      <c r="K27" s="1082">
        <v>8205007</v>
      </c>
      <c r="L27" s="1082">
        <v>113958</v>
      </c>
      <c r="M27" s="1084"/>
      <c r="N27" s="1082">
        <f t="shared" si="4"/>
        <v>1367496</v>
      </c>
      <c r="O27" s="1085">
        <f t="shared" si="5"/>
        <v>6837511</v>
      </c>
      <c r="P27" s="1085">
        <f t="shared" si="1"/>
        <v>683748</v>
      </c>
      <c r="Q27" s="1085">
        <f t="shared" si="2"/>
        <v>6153763</v>
      </c>
      <c r="R27" s="1082" t="s">
        <v>2174</v>
      </c>
      <c r="S27" s="1082">
        <v>9.5</v>
      </c>
      <c r="U27" s="1087"/>
      <c r="V27" s="1087"/>
      <c r="W27" s="1087"/>
    </row>
    <row r="28" spans="1:23" ht="21.95" customHeight="1">
      <c r="B28" s="1083">
        <v>161225</v>
      </c>
      <c r="C28" s="1074"/>
      <c r="D28" s="1082" t="s">
        <v>2172</v>
      </c>
      <c r="E28" s="1082" t="s">
        <v>2172</v>
      </c>
      <c r="F28" s="1082">
        <v>156</v>
      </c>
      <c r="G28" s="1082">
        <v>36</v>
      </c>
      <c r="H28" s="1083"/>
      <c r="I28" s="1082" t="s">
        <v>2173</v>
      </c>
      <c r="J28" s="1082">
        <v>24325600</v>
      </c>
      <c r="K28" s="1092">
        <v>14595371</v>
      </c>
      <c r="L28" s="1082">
        <v>202714</v>
      </c>
      <c r="M28" s="1084"/>
      <c r="N28" s="1082">
        <f t="shared" si="4"/>
        <v>2432568</v>
      </c>
      <c r="O28" s="1085">
        <f t="shared" si="5"/>
        <v>12162803</v>
      </c>
      <c r="P28" s="1085">
        <f t="shared" si="1"/>
        <v>1216284</v>
      </c>
      <c r="Q28" s="1085">
        <f t="shared" si="2"/>
        <v>10946519</v>
      </c>
      <c r="R28" s="1082" t="s">
        <v>2174</v>
      </c>
      <c r="S28" s="1082">
        <v>9.5</v>
      </c>
      <c r="U28" s="1087"/>
      <c r="V28" s="1087"/>
      <c r="W28" s="1087"/>
    </row>
    <row r="29" spans="1:23" ht="21.95" customHeight="1">
      <c r="B29" s="1083">
        <v>161225</v>
      </c>
      <c r="C29" s="1074"/>
      <c r="D29" s="1082" t="s">
        <v>2172</v>
      </c>
      <c r="E29" s="1082" t="s">
        <v>2172</v>
      </c>
      <c r="F29" s="1082">
        <v>156</v>
      </c>
      <c r="G29" s="1082">
        <v>36</v>
      </c>
      <c r="H29" s="1083"/>
      <c r="I29" s="1082" t="s">
        <v>2181</v>
      </c>
      <c r="J29" s="1082">
        <v>4544000</v>
      </c>
      <c r="K29" s="1092">
        <v>2726398</v>
      </c>
      <c r="L29" s="1082">
        <v>37867</v>
      </c>
      <c r="M29" s="1084"/>
      <c r="N29" s="1082">
        <f t="shared" si="4"/>
        <v>454404</v>
      </c>
      <c r="O29" s="1085">
        <f t="shared" si="5"/>
        <v>2271994</v>
      </c>
      <c r="P29" s="1085">
        <f t="shared" si="1"/>
        <v>227202</v>
      </c>
      <c r="Q29" s="1085">
        <f t="shared" si="2"/>
        <v>2044792</v>
      </c>
      <c r="R29" s="1082" t="s">
        <v>2174</v>
      </c>
      <c r="S29" s="1082">
        <v>9.5</v>
      </c>
      <c r="U29" s="1087"/>
      <c r="V29" s="1087"/>
      <c r="W29" s="1087"/>
    </row>
    <row r="30" spans="1:23" ht="21.95" customHeight="1">
      <c r="B30" s="1083">
        <v>161225</v>
      </c>
      <c r="C30" s="1074"/>
      <c r="D30" s="1082" t="s">
        <v>2172</v>
      </c>
      <c r="E30" s="1082" t="s">
        <v>2172</v>
      </c>
      <c r="F30" s="1082">
        <v>156</v>
      </c>
      <c r="G30" s="1082">
        <v>36</v>
      </c>
      <c r="H30" s="1083"/>
      <c r="I30" s="1082" t="s">
        <v>2180</v>
      </c>
      <c r="J30" s="1082">
        <v>9464000</v>
      </c>
      <c r="K30" s="1082">
        <v>3221228</v>
      </c>
      <c r="L30" s="1082">
        <v>44739</v>
      </c>
      <c r="M30" s="1084"/>
      <c r="N30" s="1082">
        <f t="shared" si="4"/>
        <v>536868</v>
      </c>
      <c r="O30" s="1085">
        <f t="shared" si="5"/>
        <v>2684360</v>
      </c>
      <c r="P30" s="1085">
        <f t="shared" si="1"/>
        <v>268434</v>
      </c>
      <c r="Q30" s="1085">
        <f t="shared" si="2"/>
        <v>2415926</v>
      </c>
      <c r="R30" s="1082" t="s">
        <v>2174</v>
      </c>
      <c r="S30" s="1082">
        <v>9</v>
      </c>
      <c r="U30" s="1087"/>
      <c r="V30" s="1087"/>
      <c r="W30" s="1087"/>
    </row>
    <row r="31" spans="1:23" ht="21.95" customHeight="1">
      <c r="B31" s="1083"/>
      <c r="C31" s="1074"/>
      <c r="D31" s="1082"/>
      <c r="E31" s="1082"/>
      <c r="F31" s="1082"/>
      <c r="G31" s="1082"/>
      <c r="H31" s="1083"/>
      <c r="I31" s="1082"/>
      <c r="J31" s="1083">
        <f t="shared" ref="J31:O31" si="6">SUM(J27:J30)</f>
        <v>52008600</v>
      </c>
      <c r="K31" s="1083">
        <f t="shared" si="6"/>
        <v>28748004</v>
      </c>
      <c r="L31" s="1083">
        <f t="shared" si="6"/>
        <v>399278</v>
      </c>
      <c r="M31" s="1088">
        <f t="shared" si="6"/>
        <v>0</v>
      </c>
      <c r="N31" s="1083">
        <f t="shared" si="6"/>
        <v>4791336</v>
      </c>
      <c r="O31" s="1089">
        <f t="shared" si="6"/>
        <v>23956668</v>
      </c>
      <c r="P31" s="1089">
        <f t="shared" si="1"/>
        <v>2395668</v>
      </c>
      <c r="Q31" s="1089">
        <f t="shared" si="2"/>
        <v>21561000</v>
      </c>
      <c r="R31" s="1082"/>
      <c r="S31" s="1082"/>
      <c r="U31" s="1087"/>
      <c r="V31" s="1087"/>
      <c r="W31" s="1087"/>
    </row>
    <row r="32" spans="1:23" ht="31.5" customHeight="1">
      <c r="A32" s="1048">
        <v>7</v>
      </c>
      <c r="B32" s="1080">
        <v>161226</v>
      </c>
      <c r="C32" s="1081" t="s">
        <v>2171</v>
      </c>
      <c r="D32" s="1082" t="s">
        <v>2172</v>
      </c>
      <c r="E32" s="1082" t="s">
        <v>2172</v>
      </c>
      <c r="F32" s="1082">
        <v>156</v>
      </c>
      <c r="G32" s="1082">
        <v>36</v>
      </c>
      <c r="H32" s="1083">
        <v>106217000</v>
      </c>
      <c r="I32" s="1082" t="s">
        <v>2173</v>
      </c>
      <c r="J32" s="1082">
        <v>21243400</v>
      </c>
      <c r="K32" s="1082">
        <v>12746043</v>
      </c>
      <c r="L32" s="1082">
        <v>177028</v>
      </c>
      <c r="M32" s="1084"/>
      <c r="N32" s="1082">
        <f>L32*12</f>
        <v>2124336</v>
      </c>
      <c r="O32" s="1085">
        <f>K32-N32</f>
        <v>10621707</v>
      </c>
      <c r="P32" s="1085">
        <f t="shared" si="1"/>
        <v>1062168</v>
      </c>
      <c r="Q32" s="1085">
        <f t="shared" si="2"/>
        <v>9559539</v>
      </c>
      <c r="R32" s="1082" t="s">
        <v>2174</v>
      </c>
      <c r="S32" s="1082">
        <v>9.5</v>
      </c>
      <c r="U32" s="1087"/>
      <c r="V32" s="1087"/>
      <c r="W32" s="1087"/>
    </row>
    <row r="33" spans="1:24" ht="21.95" customHeight="1">
      <c r="B33" s="1083">
        <v>161226</v>
      </c>
      <c r="C33" s="1074"/>
      <c r="D33" s="1082" t="s">
        <v>2172</v>
      </c>
      <c r="E33" s="1082" t="s">
        <v>2172</v>
      </c>
      <c r="F33" s="1082">
        <v>156</v>
      </c>
      <c r="G33" s="1082">
        <v>36</v>
      </c>
      <c r="H33" s="1083"/>
      <c r="I33" s="1082" t="s">
        <v>2173</v>
      </c>
      <c r="J33" s="1082">
        <v>24325600</v>
      </c>
      <c r="K33" s="1082">
        <v>14595364</v>
      </c>
      <c r="L33" s="1082">
        <v>202714</v>
      </c>
      <c r="M33" s="1084"/>
      <c r="N33" s="1082">
        <f>L33*12</f>
        <v>2432568</v>
      </c>
      <c r="O33" s="1085">
        <f>K33-N33</f>
        <v>12162796</v>
      </c>
      <c r="P33" s="1085">
        <f t="shared" si="1"/>
        <v>1216284</v>
      </c>
      <c r="Q33" s="1085">
        <f t="shared" si="2"/>
        <v>10946512</v>
      </c>
      <c r="R33" s="1082" t="s">
        <v>2174</v>
      </c>
      <c r="S33" s="1082">
        <v>9.5</v>
      </c>
      <c r="U33" s="1087"/>
      <c r="V33" s="1087"/>
      <c r="W33" s="1087"/>
    </row>
    <row r="34" spans="1:24" ht="21.95" customHeight="1">
      <c r="B34" s="1083">
        <v>161226</v>
      </c>
      <c r="C34" s="1074"/>
      <c r="D34" s="1082" t="s">
        <v>2172</v>
      </c>
      <c r="E34" s="1082" t="s">
        <v>2172</v>
      </c>
      <c r="F34" s="1082">
        <v>156</v>
      </c>
      <c r="G34" s="1082">
        <v>36</v>
      </c>
      <c r="H34" s="1083"/>
      <c r="I34" s="1082" t="s">
        <v>2176</v>
      </c>
      <c r="J34" s="1082">
        <v>32104600</v>
      </c>
      <c r="K34" s="1082">
        <v>19262763</v>
      </c>
      <c r="L34" s="1082">
        <v>267539</v>
      </c>
      <c r="M34" s="1084"/>
      <c r="N34" s="1082">
        <f>L34*12</f>
        <v>3210468</v>
      </c>
      <c r="O34" s="1085">
        <f>K34-N34</f>
        <v>16052295</v>
      </c>
      <c r="P34" s="1085">
        <f t="shared" si="1"/>
        <v>1605234</v>
      </c>
      <c r="Q34" s="1085">
        <f t="shared" si="2"/>
        <v>14447061</v>
      </c>
      <c r="R34" s="1082" t="s">
        <v>2174</v>
      </c>
      <c r="S34" s="1082">
        <v>9.5</v>
      </c>
      <c r="U34" s="1087"/>
      <c r="V34" s="1087"/>
      <c r="W34" s="1087"/>
    </row>
    <row r="35" spans="1:24" ht="21.95" customHeight="1">
      <c r="B35" s="1083">
        <v>161226</v>
      </c>
      <c r="C35" s="1074"/>
      <c r="D35" s="1082" t="s">
        <v>2172</v>
      </c>
      <c r="E35" s="1082" t="s">
        <v>2172</v>
      </c>
      <c r="F35" s="1082">
        <v>156</v>
      </c>
      <c r="G35" s="1082">
        <v>36</v>
      </c>
      <c r="H35" s="1083"/>
      <c r="I35" s="1082" t="s">
        <v>2182</v>
      </c>
      <c r="J35" s="1082">
        <v>10106400</v>
      </c>
      <c r="K35" s="1082">
        <v>4743824</v>
      </c>
      <c r="L35" s="1082">
        <v>65886</v>
      </c>
      <c r="M35" s="1084"/>
      <c r="N35" s="1082">
        <f>L35*12</f>
        <v>790632</v>
      </c>
      <c r="O35" s="1085">
        <f>K35-N35</f>
        <v>3953192</v>
      </c>
      <c r="P35" s="1085">
        <f t="shared" si="1"/>
        <v>395316</v>
      </c>
      <c r="Q35" s="1085">
        <f t="shared" si="2"/>
        <v>3557876</v>
      </c>
      <c r="R35" s="1082" t="s">
        <v>2174</v>
      </c>
      <c r="S35" s="1082">
        <v>9</v>
      </c>
    </row>
    <row r="36" spans="1:24" ht="21.95" customHeight="1">
      <c r="B36" s="1083"/>
      <c r="C36" s="1074"/>
      <c r="D36" s="1082"/>
      <c r="E36" s="1082"/>
      <c r="F36" s="1082"/>
      <c r="G36" s="1082"/>
      <c r="H36" s="1083"/>
      <c r="I36" s="1082"/>
      <c r="J36" s="1083">
        <f t="shared" ref="J36:O36" si="7">SUM(J32:J35)</f>
        <v>87780000</v>
      </c>
      <c r="K36" s="1083">
        <f t="shared" si="7"/>
        <v>51347994</v>
      </c>
      <c r="L36" s="1083">
        <f t="shared" si="7"/>
        <v>713167</v>
      </c>
      <c r="M36" s="1088">
        <f t="shared" si="7"/>
        <v>0</v>
      </c>
      <c r="N36" s="1083">
        <f t="shared" si="7"/>
        <v>8558004</v>
      </c>
      <c r="O36" s="1089">
        <f t="shared" si="7"/>
        <v>42789990</v>
      </c>
      <c r="P36" s="1089">
        <f t="shared" si="1"/>
        <v>4279002</v>
      </c>
      <c r="Q36" s="1089">
        <f t="shared" si="2"/>
        <v>38510988</v>
      </c>
      <c r="R36" s="1082"/>
      <c r="S36" s="1082"/>
    </row>
    <row r="37" spans="1:24" ht="31.5" customHeight="1">
      <c r="A37" s="1048">
        <v>8</v>
      </c>
      <c r="B37" s="1080">
        <v>161228</v>
      </c>
      <c r="C37" s="1081" t="s">
        <v>2171</v>
      </c>
      <c r="D37" s="1082" t="s">
        <v>2172</v>
      </c>
      <c r="E37" s="1082" t="s">
        <v>2172</v>
      </c>
      <c r="F37" s="1082">
        <v>156</v>
      </c>
      <c r="G37" s="1082">
        <v>36</v>
      </c>
      <c r="H37" s="1083">
        <v>129300000</v>
      </c>
      <c r="I37" s="1082" t="s">
        <v>2173</v>
      </c>
      <c r="J37" s="1082">
        <v>25860000</v>
      </c>
      <c r="K37" s="1082">
        <v>15516000</v>
      </c>
      <c r="L37" s="1082">
        <v>215500</v>
      </c>
      <c r="M37" s="1084"/>
      <c r="N37" s="1082">
        <f>L37*12</f>
        <v>2586000</v>
      </c>
      <c r="O37" s="1085">
        <f>K37-N37</f>
        <v>12930000</v>
      </c>
      <c r="P37" s="1085">
        <f t="shared" si="1"/>
        <v>1293000</v>
      </c>
      <c r="Q37" s="1085">
        <f t="shared" si="2"/>
        <v>11637000</v>
      </c>
      <c r="R37" s="1082" t="s">
        <v>2174</v>
      </c>
      <c r="S37" s="1082">
        <v>9.5</v>
      </c>
    </row>
    <row r="38" spans="1:24" ht="21.95" customHeight="1">
      <c r="B38" s="1083">
        <v>161228</v>
      </c>
      <c r="C38" s="1074"/>
      <c r="D38" s="1082" t="s">
        <v>2172</v>
      </c>
      <c r="E38" s="1082" t="s">
        <v>2172</v>
      </c>
      <c r="F38" s="1082">
        <v>156</v>
      </c>
      <c r="G38" s="1082">
        <v>36</v>
      </c>
      <c r="H38" s="1083"/>
      <c r="I38" s="1082" t="s">
        <v>2183</v>
      </c>
      <c r="J38" s="1082">
        <v>76588900</v>
      </c>
      <c r="K38" s="1082">
        <v>45953319</v>
      </c>
      <c r="L38" s="1082">
        <v>638241</v>
      </c>
      <c r="M38" s="1084"/>
      <c r="N38" s="1082">
        <f>L38*12</f>
        <v>7658892</v>
      </c>
      <c r="O38" s="1085">
        <f>K38-N38</f>
        <v>38294427</v>
      </c>
      <c r="P38" s="1085">
        <f t="shared" si="1"/>
        <v>3829446</v>
      </c>
      <c r="Q38" s="1085">
        <f t="shared" si="2"/>
        <v>34464981</v>
      </c>
      <c r="R38" s="1082" t="s">
        <v>2174</v>
      </c>
      <c r="S38" s="1082">
        <v>8</v>
      </c>
    </row>
    <row r="39" spans="1:24" ht="21.95" customHeight="1">
      <c r="B39" s="1083">
        <v>161228</v>
      </c>
      <c r="C39" s="1074"/>
      <c r="D39" s="1082" t="s">
        <v>2172</v>
      </c>
      <c r="E39" s="1082" t="s">
        <v>2172</v>
      </c>
      <c r="F39" s="1082">
        <v>156</v>
      </c>
      <c r="G39" s="1082">
        <v>36</v>
      </c>
      <c r="H39" s="1083"/>
      <c r="I39" s="1082" t="s">
        <v>2184</v>
      </c>
      <c r="J39" s="1082">
        <v>836600</v>
      </c>
      <c r="K39" s="1082">
        <v>501957</v>
      </c>
      <c r="L39" s="1082">
        <v>6972</v>
      </c>
      <c r="M39" s="1084"/>
      <c r="N39" s="1082">
        <f>L39*12</f>
        <v>83664</v>
      </c>
      <c r="O39" s="1085">
        <f>K39-N39</f>
        <v>418293</v>
      </c>
      <c r="P39" s="1085">
        <f t="shared" si="1"/>
        <v>41832</v>
      </c>
      <c r="Q39" s="1085">
        <f t="shared" si="2"/>
        <v>376461</v>
      </c>
      <c r="R39" s="1082" t="s">
        <v>2174</v>
      </c>
      <c r="S39" s="1082">
        <v>8</v>
      </c>
    </row>
    <row r="40" spans="1:24" ht="21.95" customHeight="1">
      <c r="B40" s="1083">
        <v>161228</v>
      </c>
      <c r="C40" s="1074"/>
      <c r="D40" s="1082" t="s">
        <v>2172</v>
      </c>
      <c r="E40" s="1082" t="s">
        <v>2172</v>
      </c>
      <c r="F40" s="1082">
        <v>156</v>
      </c>
      <c r="G40" s="1082">
        <v>36</v>
      </c>
      <c r="H40" s="1083"/>
      <c r="I40" s="1082" t="s">
        <v>2185</v>
      </c>
      <c r="J40" s="1082">
        <v>2772100</v>
      </c>
      <c r="K40" s="1082">
        <v>1663252</v>
      </c>
      <c r="L40" s="1082">
        <v>23101</v>
      </c>
      <c r="M40" s="1084"/>
      <c r="N40" s="1082">
        <f>L40*12</f>
        <v>277212</v>
      </c>
      <c r="O40" s="1085">
        <f>K40-N40</f>
        <v>1386040</v>
      </c>
      <c r="P40" s="1085">
        <f t="shared" si="1"/>
        <v>138606</v>
      </c>
      <c r="Q40" s="1085">
        <f t="shared" si="2"/>
        <v>1247434</v>
      </c>
      <c r="R40" s="1082" t="s">
        <v>2174</v>
      </c>
      <c r="S40" s="1082">
        <v>12.75</v>
      </c>
    </row>
    <row r="41" spans="1:24" ht="21.95" customHeight="1">
      <c r="B41" s="1083">
        <v>161228</v>
      </c>
      <c r="C41" s="1074"/>
      <c r="D41" s="1082" t="s">
        <v>2172</v>
      </c>
      <c r="E41" s="1082" t="s">
        <v>2172</v>
      </c>
      <c r="F41" s="1082">
        <v>156</v>
      </c>
      <c r="G41" s="1082">
        <v>36</v>
      </c>
      <c r="H41" s="1083"/>
      <c r="I41" s="1082" t="s">
        <v>2186</v>
      </c>
      <c r="J41" s="1082">
        <v>3702400</v>
      </c>
      <c r="K41" s="1082">
        <v>2298052</v>
      </c>
      <c r="L41" s="1082">
        <v>31917</v>
      </c>
      <c r="M41" s="1084"/>
      <c r="N41" s="1082">
        <f>L41*12</f>
        <v>383004</v>
      </c>
      <c r="O41" s="1085">
        <f>K41-N41</f>
        <v>1915048</v>
      </c>
      <c r="P41" s="1085">
        <f t="shared" si="1"/>
        <v>191502</v>
      </c>
      <c r="Q41" s="1085">
        <f t="shared" si="2"/>
        <v>1723546</v>
      </c>
      <c r="R41" s="1082" t="s">
        <v>2187</v>
      </c>
      <c r="S41" s="1082">
        <v>11.5</v>
      </c>
    </row>
    <row r="42" spans="1:24" ht="21.95" customHeight="1">
      <c r="B42" s="1083"/>
      <c r="C42" s="1074"/>
      <c r="D42" s="1082"/>
      <c r="E42" s="1082"/>
      <c r="F42" s="1082"/>
      <c r="G42" s="1082"/>
      <c r="H42" s="1083"/>
      <c r="I42" s="1082"/>
      <c r="J42" s="1083">
        <f t="shared" ref="J42:O42" si="8">SUM(J37:J41)</f>
        <v>109760000</v>
      </c>
      <c r="K42" s="1083">
        <f t="shared" si="8"/>
        <v>65932580</v>
      </c>
      <c r="L42" s="1083">
        <f t="shared" si="8"/>
        <v>915731</v>
      </c>
      <c r="M42" s="1088">
        <f t="shared" si="8"/>
        <v>0</v>
      </c>
      <c r="N42" s="1083">
        <f t="shared" si="8"/>
        <v>10988772</v>
      </c>
      <c r="O42" s="1083">
        <f t="shared" si="8"/>
        <v>54943808</v>
      </c>
      <c r="P42" s="1089">
        <f t="shared" si="1"/>
        <v>5494386</v>
      </c>
      <c r="Q42" s="1089">
        <f t="shared" si="2"/>
        <v>49449422</v>
      </c>
      <c r="R42" s="1082"/>
      <c r="S42" s="1082"/>
    </row>
    <row r="43" spans="1:24" ht="21.95" customHeight="1" thickBot="1">
      <c r="B43" s="1048"/>
      <c r="C43" s="1071"/>
      <c r="D43" s="1048"/>
      <c r="E43" s="1048"/>
      <c r="F43" s="1048"/>
      <c r="G43" s="1048"/>
      <c r="H43" s="1048">
        <f>SUM(H4:H42)</f>
        <v>594599700</v>
      </c>
      <c r="I43" s="996" t="s">
        <v>1927</v>
      </c>
      <c r="J43" s="996">
        <f t="shared" ref="J43:Q43" si="9">J7+J11+J15+J21+J26+J31+J36+J42</f>
        <v>469769500</v>
      </c>
      <c r="K43" s="996">
        <f t="shared" si="9"/>
        <v>278625453</v>
      </c>
      <c r="L43" s="996">
        <f t="shared" si="9"/>
        <v>4553485</v>
      </c>
      <c r="M43" s="998">
        <f t="shared" si="9"/>
        <v>43755880</v>
      </c>
      <c r="N43" s="996">
        <f>N7+N11+N15+N21+N26+N31+N36+N42</f>
        <v>49172341</v>
      </c>
      <c r="O43" s="1047">
        <f t="shared" si="9"/>
        <v>273208992</v>
      </c>
      <c r="P43" s="1047">
        <f t="shared" si="9"/>
        <v>27320910</v>
      </c>
      <c r="Q43" s="1047">
        <f t="shared" si="9"/>
        <v>245888082</v>
      </c>
      <c r="R43" s="1048"/>
      <c r="S43" s="1048"/>
    </row>
    <row r="44" spans="1:24" ht="41.25" customHeight="1" thickBot="1">
      <c r="B44" s="1048"/>
      <c r="C44" s="1071"/>
      <c r="D44" s="1048"/>
      <c r="E44" s="1048"/>
      <c r="F44" s="1048"/>
      <c r="G44" s="1048"/>
      <c r="H44" s="1048"/>
      <c r="I44" s="1093"/>
      <c r="J44" s="1094" t="s">
        <v>2078</v>
      </c>
      <c r="K44" s="1095" t="s">
        <v>2079</v>
      </c>
      <c r="L44" s="1094" t="s">
        <v>2080</v>
      </c>
      <c r="M44" s="1096" t="s">
        <v>2164</v>
      </c>
      <c r="N44" s="1097" t="s">
        <v>2165</v>
      </c>
      <c r="O44" s="1098" t="s">
        <v>2166</v>
      </c>
      <c r="P44" s="1099" t="s">
        <v>2188</v>
      </c>
      <c r="Q44" s="1100" t="s">
        <v>2189</v>
      </c>
      <c r="R44" s="1075" t="s">
        <v>2190</v>
      </c>
      <c r="S44" s="1048"/>
    </row>
    <row r="45" spans="1:24" ht="21.95" customHeight="1" thickBot="1">
      <c r="B45" s="1048"/>
      <c r="C45" s="1071"/>
      <c r="D45" s="1048"/>
      <c r="E45" s="1048"/>
      <c r="F45" s="1048"/>
      <c r="G45" s="1048"/>
      <c r="H45" s="1048"/>
      <c r="I45" s="1093" t="s">
        <v>2191</v>
      </c>
      <c r="J45" s="1101">
        <v>2010538491.25</v>
      </c>
      <c r="K45" s="1102">
        <v>2010538491</v>
      </c>
      <c r="L45" s="1102"/>
      <c r="M45" s="1103">
        <v>668539500</v>
      </c>
      <c r="N45" s="1102">
        <v>90980460</v>
      </c>
      <c r="O45" s="1104">
        <f>K45+M45-N45</f>
        <v>2588097531</v>
      </c>
      <c r="P45" s="1105">
        <v>0</v>
      </c>
      <c r="Q45" s="1105">
        <v>461163500</v>
      </c>
      <c r="R45" s="1106">
        <f>O45-P45+Q45</f>
        <v>3049261031</v>
      </c>
      <c r="S45" s="1048"/>
    </row>
    <row r="46" spans="1:24" ht="21.95" customHeight="1" thickBot="1">
      <c r="B46" s="1048"/>
      <c r="C46" s="1071"/>
      <c r="D46" s="1048"/>
      <c r="E46" s="1048"/>
      <c r="F46" s="1048"/>
      <c r="G46" s="1048"/>
      <c r="H46" s="1048"/>
      <c r="I46" s="1107" t="s">
        <v>2192</v>
      </c>
      <c r="J46" s="1108">
        <v>776488780</v>
      </c>
      <c r="K46" s="1108">
        <v>451420870</v>
      </c>
      <c r="L46" s="1108"/>
      <c r="M46" s="1109">
        <v>0</v>
      </c>
      <c r="N46" s="1108">
        <v>107549780</v>
      </c>
      <c r="O46" s="1104">
        <f>K46+M46-N46</f>
        <v>343871090</v>
      </c>
      <c r="P46" s="1105">
        <v>53774890</v>
      </c>
      <c r="Q46" s="1105">
        <v>0</v>
      </c>
      <c r="R46" s="1106">
        <f>O46-P46+Q46</f>
        <v>290096200</v>
      </c>
      <c r="S46" s="1048"/>
      <c r="T46" s="1090" t="s">
        <v>426</v>
      </c>
    </row>
    <row r="47" spans="1:24" ht="21.95" customHeight="1" thickBot="1">
      <c r="B47" s="1048"/>
      <c r="C47" s="1071"/>
      <c r="D47" s="1048"/>
      <c r="E47" s="1048"/>
      <c r="F47" s="1048"/>
      <c r="G47" s="1048"/>
      <c r="H47" s="1048"/>
      <c r="I47" s="1107" t="s">
        <v>2193</v>
      </c>
      <c r="J47" s="1108">
        <v>469769500</v>
      </c>
      <c r="K47" s="1108">
        <v>278625453</v>
      </c>
      <c r="L47" s="1108"/>
      <c r="M47" s="1109">
        <v>43755880</v>
      </c>
      <c r="N47" s="1108">
        <v>49172341</v>
      </c>
      <c r="O47" s="1104">
        <f>K47+M47-N47</f>
        <v>273208992</v>
      </c>
      <c r="P47" s="1105">
        <f>P43</f>
        <v>27320910</v>
      </c>
      <c r="Q47" s="1105">
        <v>0</v>
      </c>
      <c r="R47" s="1106">
        <f>O47-P47+Q47</f>
        <v>245888082</v>
      </c>
      <c r="S47" s="1048"/>
      <c r="T47" s="1090"/>
    </row>
    <row r="48" spans="1:24" ht="27" customHeight="1" thickBot="1">
      <c r="H48" s="1110"/>
      <c r="I48" s="1111" t="s">
        <v>2194</v>
      </c>
      <c r="J48" s="1112">
        <f>SUM(J45:J47)</f>
        <v>3256796771.25</v>
      </c>
      <c r="K48" s="1113">
        <f>SUM(K45:K47)</f>
        <v>2740584814</v>
      </c>
      <c r="L48" s="1112"/>
      <c r="M48" s="1112">
        <f>SUM(M45:M47)</f>
        <v>712295380</v>
      </c>
      <c r="N48" s="1114">
        <f>SUM(N45:N47)</f>
        <v>247702581</v>
      </c>
      <c r="O48" s="1115">
        <f>K48+M48-N48</f>
        <v>3205177613</v>
      </c>
      <c r="P48" s="1116">
        <f>SUM(P45:P47)</f>
        <v>81095800</v>
      </c>
      <c r="Q48" s="1116">
        <f>SUM(Q45:Q47)</f>
        <v>461163500</v>
      </c>
      <c r="R48" s="1106">
        <f>O48-P48+Q48</f>
        <v>3585245313</v>
      </c>
      <c r="T48" s="1090"/>
      <c r="X48" s="1067" t="s">
        <v>426</v>
      </c>
    </row>
    <row r="49" spans="9:20" ht="26.25" customHeight="1">
      <c r="I49" s="1067" t="s">
        <v>2195</v>
      </c>
      <c r="J49" s="1048"/>
      <c r="K49" s="1048"/>
      <c r="L49" s="1048"/>
      <c r="M49" s="1049"/>
      <c r="O49" s="1042">
        <v>20345043978</v>
      </c>
      <c r="P49" s="1042">
        <v>0</v>
      </c>
      <c r="Q49" s="1042">
        <v>2743060300</v>
      </c>
      <c r="R49" s="1106">
        <f>O49-P49+Q49</f>
        <v>23088104278</v>
      </c>
      <c r="T49" s="1090"/>
    </row>
    <row r="50" spans="9:20" ht="21.75" customHeight="1">
      <c r="I50" s="996" t="s">
        <v>1892</v>
      </c>
      <c r="J50" s="1048"/>
      <c r="K50" s="1048"/>
      <c r="L50" s="1048"/>
      <c r="M50" s="1049"/>
      <c r="O50" s="1117">
        <f>SUM(O48:O49)</f>
        <v>23550221591</v>
      </c>
      <c r="P50" s="1117">
        <f>SUM(P48:P49)</f>
        <v>81095800</v>
      </c>
      <c r="Q50" s="1117">
        <f>SUM(Q48:Q49)</f>
        <v>3204223800</v>
      </c>
      <c r="R50" s="1117">
        <f>SUM(R48:R49)</f>
        <v>26673349591</v>
      </c>
      <c r="T50" s="1090"/>
    </row>
    <row r="51" spans="9:20" ht="21.95" customHeight="1">
      <c r="J51" s="1048"/>
      <c r="K51" s="1048"/>
      <c r="L51" s="1048"/>
      <c r="M51" s="1049"/>
      <c r="N51" s="1048"/>
      <c r="O51" s="1050"/>
      <c r="P51" s="1050"/>
      <c r="Q51" s="1050"/>
    </row>
    <row r="52" spans="9:20" ht="21.95" customHeight="1">
      <c r="J52" s="1048"/>
      <c r="K52" s="1048"/>
      <c r="L52" s="1048"/>
      <c r="M52" s="1049"/>
      <c r="N52" s="1048"/>
      <c r="O52" s="1050"/>
      <c r="P52" s="1050"/>
      <c r="Q52" s="1050"/>
    </row>
    <row r="54" spans="9:20" ht="21.75" hidden="1" customHeight="1"/>
    <row r="55" spans="9:20" ht="21.75" hidden="1" customHeight="1">
      <c r="O55" s="1070">
        <v>2740584814</v>
      </c>
    </row>
    <row r="56" spans="9:20" ht="21.95" customHeight="1">
      <c r="O56" s="1070">
        <v>247702581</v>
      </c>
    </row>
    <row r="57" spans="9:20" ht="21.95" customHeight="1">
      <c r="O57" s="1070">
        <f>O55-O56</f>
        <v>2492882233</v>
      </c>
    </row>
    <row r="58" spans="9:20" ht="21.95" customHeight="1">
      <c r="O58" s="1070">
        <v>712295380</v>
      </c>
    </row>
    <row r="59" spans="9:20" ht="21.95" customHeight="1">
      <c r="O59" s="1070">
        <f>O57+O58</f>
        <v>3205177613</v>
      </c>
    </row>
  </sheetData>
  <mergeCells count="1">
    <mergeCell ref="E1:I1"/>
  </mergeCells>
  <printOptions gridLines="1"/>
  <pageMargins left="0.74803149606299213" right="0.74803149606299213" top="0.98425196850393704" bottom="0.98425196850393704" header="0.51181102362204722" footer="0.51181102362204722"/>
  <pageSetup paperSize="9" scale="65" orientation="landscape" verticalDpi="30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P114"/>
  <sheetViews>
    <sheetView zoomScale="85" zoomScaleNormal="85" workbookViewId="0">
      <selection activeCell="G4" sqref="G4:G15"/>
    </sheetView>
  </sheetViews>
  <sheetFormatPr defaultRowHeight="12.75"/>
  <cols>
    <col min="1" max="1" width="9.28515625" style="837" customWidth="1"/>
    <col min="2" max="2" width="7.28515625" style="837" customWidth="1"/>
    <col min="3" max="4" width="10.140625" style="837" customWidth="1"/>
    <col min="5" max="5" width="9.28515625" style="837" customWidth="1"/>
    <col min="6" max="6" width="13.28515625" style="837" customWidth="1"/>
    <col min="7" max="7" width="10.5703125" style="837" customWidth="1"/>
    <col min="8" max="8" width="10.7109375" style="837" customWidth="1"/>
    <col min="9" max="9" width="9.85546875" style="837" customWidth="1"/>
    <col min="10" max="10" width="11" style="837" customWidth="1"/>
    <col min="11" max="11" width="10.42578125" style="837" customWidth="1"/>
    <col min="12" max="12" width="10" style="837" bestFit="1" customWidth="1"/>
    <col min="13" max="16384" width="9.140625" style="837"/>
  </cols>
  <sheetData>
    <row r="1" spans="2:13">
      <c r="B1" s="838"/>
      <c r="C1" s="838" t="s">
        <v>1931</v>
      </c>
      <c r="D1" s="838"/>
      <c r="E1" s="838"/>
      <c r="F1" s="838"/>
      <c r="G1" s="838"/>
      <c r="H1" s="838"/>
      <c r="I1" s="838"/>
    </row>
    <row r="2" spans="2:13">
      <c r="B2" s="838"/>
      <c r="C2" s="843" t="s">
        <v>1278</v>
      </c>
      <c r="D2" s="844" t="s">
        <v>1932</v>
      </c>
      <c r="E2" s="844" t="s">
        <v>1895</v>
      </c>
      <c r="F2" s="838"/>
      <c r="G2" s="843" t="s">
        <v>1278</v>
      </c>
      <c r="H2" s="844" t="s">
        <v>1932</v>
      </c>
      <c r="I2" s="844" t="s">
        <v>1895</v>
      </c>
      <c r="J2" s="838"/>
      <c r="K2" s="843" t="s">
        <v>1278</v>
      </c>
      <c r="L2" s="844" t="s">
        <v>1932</v>
      </c>
      <c r="M2" s="844" t="s">
        <v>1895</v>
      </c>
    </row>
    <row r="3" spans="2:13">
      <c r="B3" s="929" t="s">
        <v>1898</v>
      </c>
      <c r="C3" s="930"/>
      <c r="D3" s="930"/>
      <c r="E3" s="931">
        <v>0.12</v>
      </c>
      <c r="F3" s="929" t="s">
        <v>1898</v>
      </c>
      <c r="G3" s="930"/>
      <c r="H3" s="930">
        <v>500000000</v>
      </c>
      <c r="I3" s="931">
        <v>0.12</v>
      </c>
      <c r="J3" s="929" t="s">
        <v>1898</v>
      </c>
      <c r="K3" s="930"/>
      <c r="L3" s="930">
        <f>H15</f>
        <v>388880000</v>
      </c>
      <c r="M3" s="931">
        <v>0.12</v>
      </c>
    </row>
    <row r="4" spans="2:13">
      <c r="B4" s="901">
        <v>40644</v>
      </c>
      <c r="C4" s="838"/>
      <c r="D4" s="847"/>
      <c r="E4" s="932"/>
      <c r="F4" s="901">
        <v>41011</v>
      </c>
      <c r="G4" s="838"/>
      <c r="H4" s="847">
        <f t="shared" ref="H4:H15" si="0">H3-G4</f>
        <v>500000000</v>
      </c>
      <c r="I4" s="932">
        <f t="shared" ref="I4:I11" si="1">ROUND((H3*0.12/365*30),0)</f>
        <v>4931507</v>
      </c>
      <c r="J4" s="933">
        <v>41377</v>
      </c>
      <c r="K4" s="838"/>
      <c r="L4" s="847">
        <f t="shared" ref="L4:L15" si="2">L3-K4</f>
        <v>388880000</v>
      </c>
      <c r="M4" s="932">
        <f>ROUND((L3*0.12/365*30),0)</f>
        <v>3835529</v>
      </c>
    </row>
    <row r="5" spans="2:13">
      <c r="B5" s="901">
        <v>40674</v>
      </c>
      <c r="C5" s="838"/>
      <c r="D5" s="847"/>
      <c r="E5" s="932">
        <f>ROUND((D4*0.0975/365*31),0)</f>
        <v>0</v>
      </c>
      <c r="F5" s="901">
        <v>40675</v>
      </c>
      <c r="G5" s="838"/>
      <c r="H5" s="847">
        <f t="shared" si="0"/>
        <v>500000000</v>
      </c>
      <c r="I5" s="932">
        <f>ROUND((H4*0.12/365*31),0)</f>
        <v>5095890</v>
      </c>
      <c r="J5" s="933">
        <v>41407</v>
      </c>
      <c r="K5" s="838"/>
      <c r="L5" s="847">
        <f t="shared" si="2"/>
        <v>388880000</v>
      </c>
      <c r="M5" s="932">
        <f>ROUND((L4*0.12/365*31),0)</f>
        <v>3963380</v>
      </c>
    </row>
    <row r="6" spans="2:13" s="864" customFormat="1">
      <c r="B6" s="901">
        <v>40705</v>
      </c>
      <c r="C6" s="866"/>
      <c r="D6" s="847"/>
      <c r="E6" s="932">
        <f>ROUND((D5*0.0975/365*30),0)</f>
        <v>0</v>
      </c>
      <c r="F6" s="901">
        <v>40341</v>
      </c>
      <c r="G6" s="866">
        <v>27780000</v>
      </c>
      <c r="H6" s="847">
        <f t="shared" si="0"/>
        <v>472220000</v>
      </c>
      <c r="I6" s="932">
        <f t="shared" si="1"/>
        <v>4931507</v>
      </c>
      <c r="J6" s="933">
        <v>41438</v>
      </c>
      <c r="K6" s="866">
        <v>27780000</v>
      </c>
      <c r="L6" s="847">
        <f t="shared" si="2"/>
        <v>361100000</v>
      </c>
      <c r="M6" s="932">
        <f>ROUND((L5*0.12/365*30),0)</f>
        <v>3835529</v>
      </c>
    </row>
    <row r="7" spans="2:13" s="868" customFormat="1">
      <c r="B7" s="901">
        <v>40735</v>
      </c>
      <c r="C7" s="838"/>
      <c r="D7" s="847"/>
      <c r="E7" s="932">
        <f>ROUND((D6*0.0975/365*11)+(D7*0.0975/365*20),0)</f>
        <v>0</v>
      </c>
      <c r="F7" s="901">
        <v>40006</v>
      </c>
      <c r="G7" s="838"/>
      <c r="H7" s="847">
        <f t="shared" si="0"/>
        <v>472220000</v>
      </c>
      <c r="I7" s="932">
        <f>ROUND((H6*0.12/365*31),0)</f>
        <v>4812763</v>
      </c>
      <c r="J7" s="933">
        <v>41468</v>
      </c>
      <c r="K7" s="838"/>
      <c r="L7" s="847">
        <f t="shared" si="2"/>
        <v>361100000</v>
      </c>
      <c r="M7" s="932">
        <f>ROUND((L6*0.12/365*31),0)</f>
        <v>3680252</v>
      </c>
    </row>
    <row r="8" spans="2:13" s="868" customFormat="1">
      <c r="B8" s="901">
        <v>40766</v>
      </c>
      <c r="C8" s="843"/>
      <c r="D8" s="847"/>
      <c r="E8" s="932"/>
      <c r="F8" s="901">
        <v>39672</v>
      </c>
      <c r="G8" s="843"/>
      <c r="H8" s="847">
        <f t="shared" si="0"/>
        <v>472220000</v>
      </c>
      <c r="I8" s="932">
        <f>ROUND((H7*0.12/365*31),0)</f>
        <v>4812763</v>
      </c>
      <c r="J8" s="933">
        <v>41499</v>
      </c>
      <c r="K8" s="843"/>
      <c r="L8" s="847">
        <f t="shared" si="2"/>
        <v>361100000</v>
      </c>
      <c r="M8" s="932">
        <f>ROUND((L7*0.12/365*31),0)</f>
        <v>3680252</v>
      </c>
    </row>
    <row r="9" spans="2:13" s="864" customFormat="1">
      <c r="B9" s="901">
        <v>40797</v>
      </c>
      <c r="C9" s="866"/>
      <c r="D9" s="847">
        <v>250500000</v>
      </c>
      <c r="E9" s="932">
        <v>165041</v>
      </c>
      <c r="F9" s="901">
        <v>39337</v>
      </c>
      <c r="G9" s="866">
        <v>27780000</v>
      </c>
      <c r="H9" s="847">
        <f t="shared" si="0"/>
        <v>444440000</v>
      </c>
      <c r="I9" s="932">
        <f t="shared" si="1"/>
        <v>4657512</v>
      </c>
      <c r="J9" s="933">
        <v>41530</v>
      </c>
      <c r="K9" s="866">
        <v>27780000</v>
      </c>
      <c r="L9" s="847">
        <f t="shared" si="2"/>
        <v>333320000</v>
      </c>
      <c r="M9" s="932">
        <f>ROUND((L8*0.12/365*30),0)</f>
        <v>3561534</v>
      </c>
    </row>
    <row r="10" spans="2:13" s="868" customFormat="1">
      <c r="B10" s="901">
        <v>40827</v>
      </c>
      <c r="C10" s="838"/>
      <c r="D10" s="847">
        <f t="shared" ref="D10:D15" si="3">D9-C10</f>
        <v>250500000</v>
      </c>
      <c r="E10" s="932">
        <f>ROUND((D10*0.12/365*31),0)</f>
        <v>2553041</v>
      </c>
      <c r="F10" s="901">
        <v>39002</v>
      </c>
      <c r="G10" s="838"/>
      <c r="H10" s="847">
        <f t="shared" si="0"/>
        <v>444440000</v>
      </c>
      <c r="I10" s="932">
        <f>ROUND((H9*0.12/365*31),0)</f>
        <v>4529635</v>
      </c>
      <c r="J10" s="933">
        <v>41560</v>
      </c>
      <c r="K10" s="838"/>
      <c r="L10" s="847">
        <f t="shared" si="2"/>
        <v>333320000</v>
      </c>
      <c r="M10" s="932">
        <f>ROUND((L9*0.12/365*31),0)</f>
        <v>3397124</v>
      </c>
    </row>
    <row r="11" spans="2:13" s="864" customFormat="1">
      <c r="B11" s="901">
        <v>40858</v>
      </c>
      <c r="C11" s="866"/>
      <c r="D11" s="847">
        <v>320500000</v>
      </c>
      <c r="E11" s="932">
        <f>ROUND((D11*0.12/365*30),0)</f>
        <v>3161096</v>
      </c>
      <c r="F11" s="901">
        <v>38668</v>
      </c>
      <c r="G11" s="866"/>
      <c r="H11" s="847">
        <f t="shared" si="0"/>
        <v>444440000</v>
      </c>
      <c r="I11" s="932">
        <f t="shared" si="1"/>
        <v>4383518</v>
      </c>
      <c r="J11" s="933">
        <v>41591</v>
      </c>
      <c r="K11" s="866"/>
      <c r="L11" s="847">
        <f t="shared" si="2"/>
        <v>333320000</v>
      </c>
      <c r="M11" s="932">
        <f>ROUND((L10*0.12/365*30),0)</f>
        <v>3287540</v>
      </c>
    </row>
    <row r="12" spans="2:13" s="868" customFormat="1">
      <c r="B12" s="901">
        <v>40888</v>
      </c>
      <c r="C12" s="843"/>
      <c r="D12" s="838">
        <v>500000000</v>
      </c>
      <c r="E12" s="932">
        <f>ROUND((D12*0.12/365*31),0)</f>
        <v>5095890</v>
      </c>
      <c r="F12" s="901">
        <v>38333</v>
      </c>
      <c r="G12" s="866">
        <v>27780000</v>
      </c>
      <c r="H12" s="847">
        <f t="shared" si="0"/>
        <v>416660000</v>
      </c>
      <c r="I12" s="932">
        <f>ROUND((H11*0.12/365*31),0)</f>
        <v>4529635</v>
      </c>
      <c r="J12" s="933">
        <v>41621</v>
      </c>
      <c r="K12" s="866">
        <v>27780000</v>
      </c>
      <c r="L12" s="847">
        <f t="shared" si="2"/>
        <v>305540000</v>
      </c>
      <c r="M12" s="932">
        <f>ROUND((L11*0.12/365*31),0)</f>
        <v>3397124</v>
      </c>
    </row>
    <row r="13" spans="2:13" s="868" customFormat="1">
      <c r="B13" s="901">
        <v>40555</v>
      </c>
      <c r="C13" s="838"/>
      <c r="D13" s="847">
        <f t="shared" si="3"/>
        <v>500000000</v>
      </c>
      <c r="E13" s="932">
        <f>ROUND((D13*0.12/366*31),0)</f>
        <v>5081967</v>
      </c>
      <c r="F13" s="901">
        <v>37999</v>
      </c>
      <c r="G13" s="838"/>
      <c r="H13" s="847">
        <f t="shared" si="0"/>
        <v>416660000</v>
      </c>
      <c r="I13" s="932">
        <f>ROUND((H12*0.12/365*31),0)</f>
        <v>4246507</v>
      </c>
      <c r="J13" s="933">
        <v>41652</v>
      </c>
      <c r="K13" s="838"/>
      <c r="L13" s="847">
        <f t="shared" si="2"/>
        <v>305540000</v>
      </c>
      <c r="M13" s="932">
        <f>ROUND((L12*0.12/365*31),0)</f>
        <v>3113997</v>
      </c>
    </row>
    <row r="14" spans="2:13" s="864" customFormat="1">
      <c r="B14" s="901">
        <v>40586</v>
      </c>
      <c r="C14" s="866"/>
      <c r="D14" s="847">
        <f t="shared" si="3"/>
        <v>500000000</v>
      </c>
      <c r="E14" s="932">
        <f>ROUND((D14*0.12/366*29),0)</f>
        <v>4754098</v>
      </c>
      <c r="F14" s="901">
        <v>37665</v>
      </c>
      <c r="G14" s="866"/>
      <c r="H14" s="847">
        <f t="shared" si="0"/>
        <v>416660000</v>
      </c>
      <c r="I14" s="932">
        <f>ROUND((H13*0.12/365*28),0)</f>
        <v>3835555</v>
      </c>
      <c r="J14" s="933">
        <v>41683</v>
      </c>
      <c r="K14" s="866"/>
      <c r="L14" s="847">
        <f t="shared" si="2"/>
        <v>305540000</v>
      </c>
      <c r="M14" s="932">
        <f>ROUND((L13*0.12/365*28),0)</f>
        <v>2812642</v>
      </c>
    </row>
    <row r="15" spans="2:13">
      <c r="B15" s="901">
        <v>40614</v>
      </c>
      <c r="C15" s="838"/>
      <c r="D15" s="847">
        <f t="shared" si="3"/>
        <v>500000000</v>
      </c>
      <c r="E15" s="932">
        <f>ROUND((D15*0.12/366*31),0)</f>
        <v>5081967</v>
      </c>
      <c r="F15" s="901">
        <v>37328</v>
      </c>
      <c r="G15" s="866">
        <v>27780000</v>
      </c>
      <c r="H15" s="847">
        <f t="shared" si="0"/>
        <v>388880000</v>
      </c>
      <c r="I15" s="932">
        <f>ROUND((H14*0.12/365*31),0)</f>
        <v>4246507</v>
      </c>
      <c r="J15" s="933">
        <v>41711</v>
      </c>
      <c r="K15" s="866">
        <v>27780000</v>
      </c>
      <c r="L15" s="847">
        <f t="shared" si="2"/>
        <v>277760000</v>
      </c>
      <c r="M15" s="932">
        <f>ROUND((L14*0.12/365*31),0)</f>
        <v>3113997</v>
      </c>
    </row>
    <row r="16" spans="2:13" s="864" customFormat="1">
      <c r="B16" s="904" t="s">
        <v>287</v>
      </c>
      <c r="C16" s="905">
        <f>SUM(C3:C15)</f>
        <v>0</v>
      </c>
      <c r="D16" s="905"/>
      <c r="E16" s="906">
        <f>SUM(E4:E15)</f>
        <v>25893100</v>
      </c>
      <c r="F16" s="904" t="s">
        <v>287</v>
      </c>
      <c r="G16" s="905">
        <f>SUM(G3:G15)</f>
        <v>111120000</v>
      </c>
      <c r="H16" s="905"/>
      <c r="I16" s="906">
        <f>SUM(I4:I15)</f>
        <v>55013299</v>
      </c>
      <c r="J16" s="904" t="s">
        <v>287</v>
      </c>
      <c r="K16" s="905">
        <f>SUM(K3:K15)</f>
        <v>111120000</v>
      </c>
      <c r="L16" s="905"/>
      <c r="M16" s="906">
        <f>SUM(M4:M15)</f>
        <v>41678900</v>
      </c>
    </row>
    <row r="17" spans="2:16" ht="15.75" customHeight="1">
      <c r="B17" s="838"/>
      <c r="C17" s="838"/>
      <c r="D17" s="838"/>
      <c r="E17" s="838"/>
      <c r="F17" s="838"/>
      <c r="G17" s="838"/>
      <c r="H17" s="838"/>
      <c r="I17" s="838"/>
    </row>
    <row r="18" spans="2:16">
      <c r="B18" s="838"/>
      <c r="C18" s="843" t="s">
        <v>1278</v>
      </c>
      <c r="D18" s="844" t="s">
        <v>1932</v>
      </c>
      <c r="E18" s="844" t="s">
        <v>1895</v>
      </c>
      <c r="F18" s="838"/>
      <c r="G18" s="843" t="s">
        <v>1278</v>
      </c>
      <c r="H18" s="844" t="s">
        <v>1932</v>
      </c>
      <c r="I18" s="844" t="s">
        <v>1895</v>
      </c>
      <c r="K18" s="843" t="s">
        <v>1278</v>
      </c>
      <c r="L18" s="844" t="s">
        <v>1932</v>
      </c>
      <c r="M18" s="844" t="s">
        <v>1895</v>
      </c>
    </row>
    <row r="19" spans="2:16">
      <c r="B19" s="929" t="s">
        <v>1898</v>
      </c>
      <c r="C19" s="930"/>
      <c r="D19" s="930">
        <f>L15</f>
        <v>277760000</v>
      </c>
      <c r="E19" s="931">
        <v>9.7500000000000003E-2</v>
      </c>
      <c r="F19" s="929" t="s">
        <v>1898</v>
      </c>
      <c r="G19" s="930"/>
      <c r="H19" s="930">
        <f>D31</f>
        <v>166640000</v>
      </c>
      <c r="I19" s="931">
        <v>9.7500000000000003E-2</v>
      </c>
      <c r="K19" s="930"/>
      <c r="L19" s="930">
        <f>H31</f>
        <v>55520000</v>
      </c>
      <c r="M19" s="931">
        <v>9.7500000000000003E-2</v>
      </c>
    </row>
    <row r="20" spans="2:16">
      <c r="B20" s="933">
        <v>41742</v>
      </c>
      <c r="C20" s="838"/>
      <c r="D20" s="847">
        <f t="shared" ref="D20:D31" si="4">D19-C20</f>
        <v>277760000</v>
      </c>
      <c r="E20" s="932">
        <f>ROUND((D19*0.12/365*30),0)</f>
        <v>2739551</v>
      </c>
      <c r="F20" s="933">
        <v>42107</v>
      </c>
      <c r="G20" s="838"/>
      <c r="H20" s="847">
        <f t="shared" ref="H20:H31" si="5">H19-G20</f>
        <v>166640000</v>
      </c>
      <c r="I20" s="932">
        <f>ROUND((H19*0.12/365*30),0)</f>
        <v>1643573</v>
      </c>
      <c r="J20" s="934">
        <v>42473</v>
      </c>
      <c r="K20" s="838"/>
      <c r="L20" s="847">
        <f t="shared" ref="L20:L31" si="6">L19-K20</f>
        <v>55520000</v>
      </c>
      <c r="M20" s="932">
        <f>ROUND((L19*0.12/365*30),0)</f>
        <v>547595</v>
      </c>
    </row>
    <row r="21" spans="2:16">
      <c r="B21" s="933">
        <v>41772</v>
      </c>
      <c r="C21" s="838"/>
      <c r="D21" s="847">
        <f t="shared" si="4"/>
        <v>277760000</v>
      </c>
      <c r="E21" s="932">
        <f>ROUND((D20*0.12/365*31),0)</f>
        <v>2830869</v>
      </c>
      <c r="F21" s="933">
        <v>42137</v>
      </c>
      <c r="G21" s="838"/>
      <c r="H21" s="847">
        <f t="shared" si="5"/>
        <v>166640000</v>
      </c>
      <c r="I21" s="932">
        <f>ROUND((H20*0.12/365*31),0)</f>
        <v>1698358</v>
      </c>
      <c r="J21" s="933">
        <v>42503</v>
      </c>
      <c r="K21" s="838"/>
      <c r="L21" s="847">
        <f t="shared" si="6"/>
        <v>55520000</v>
      </c>
      <c r="M21" s="932">
        <f>ROUND((L20*0.12/365*31),0)</f>
        <v>565848</v>
      </c>
    </row>
    <row r="22" spans="2:16">
      <c r="B22" s="933">
        <v>41803</v>
      </c>
      <c r="C22" s="866">
        <v>27780000</v>
      </c>
      <c r="D22" s="847">
        <f t="shared" si="4"/>
        <v>249980000</v>
      </c>
      <c r="E22" s="932">
        <f>ROUND((D21*0.12/365*30),0)</f>
        <v>2739551</v>
      </c>
      <c r="F22" s="933">
        <v>42168</v>
      </c>
      <c r="G22" s="866">
        <v>27780000</v>
      </c>
      <c r="H22" s="847">
        <f t="shared" si="5"/>
        <v>138860000</v>
      </c>
      <c r="I22" s="932">
        <f>ROUND((H21*0.12/365*30),0)</f>
        <v>1643573</v>
      </c>
      <c r="J22" s="933">
        <v>42534</v>
      </c>
      <c r="K22" s="866">
        <v>27780000</v>
      </c>
      <c r="L22" s="847">
        <f t="shared" si="6"/>
        <v>27740000</v>
      </c>
      <c r="M22" s="932">
        <f>ROUND((L21*0.12/365*30),0)</f>
        <v>547595</v>
      </c>
    </row>
    <row r="23" spans="2:16">
      <c r="B23" s="933">
        <v>41833</v>
      </c>
      <c r="C23" s="838">
        <v>0</v>
      </c>
      <c r="D23" s="847">
        <f t="shared" si="4"/>
        <v>249980000</v>
      </c>
      <c r="E23" s="932">
        <f>ROUND((D22*0.12/365*31),0)</f>
        <v>2547741</v>
      </c>
      <c r="F23" s="933">
        <v>42198</v>
      </c>
      <c r="G23" s="838"/>
      <c r="H23" s="847">
        <f t="shared" si="5"/>
        <v>138860000</v>
      </c>
      <c r="I23" s="932">
        <f>ROUND((H22*0.12/365*31),0)</f>
        <v>1415231</v>
      </c>
      <c r="J23" s="933">
        <v>42564</v>
      </c>
      <c r="K23" s="838"/>
      <c r="L23" s="847">
        <f t="shared" si="6"/>
        <v>27740000</v>
      </c>
      <c r="M23" s="932">
        <f>ROUND((L22*0.12/365*31),0)</f>
        <v>282720</v>
      </c>
    </row>
    <row r="24" spans="2:16">
      <c r="B24" s="933">
        <v>41864</v>
      </c>
      <c r="C24" s="843"/>
      <c r="D24" s="847">
        <f t="shared" si="4"/>
        <v>249980000</v>
      </c>
      <c r="E24" s="932">
        <f>ROUND((D23*0.12/365*31),0)</f>
        <v>2547741</v>
      </c>
      <c r="F24" s="933">
        <v>42229</v>
      </c>
      <c r="G24" s="843"/>
      <c r="H24" s="847">
        <f t="shared" si="5"/>
        <v>138860000</v>
      </c>
      <c r="I24" s="932">
        <f>ROUND((H23*0.12/365*31),0)</f>
        <v>1415231</v>
      </c>
      <c r="J24" s="933">
        <v>42595</v>
      </c>
      <c r="K24" s="843"/>
      <c r="L24" s="847">
        <f t="shared" si="6"/>
        <v>27740000</v>
      </c>
      <c r="M24" s="932">
        <f>ROUND((L23*0.12/365*31),0)</f>
        <v>282720</v>
      </c>
    </row>
    <row r="25" spans="2:16">
      <c r="B25" s="933">
        <v>41895</v>
      </c>
      <c r="C25" s="866">
        <v>27780000</v>
      </c>
      <c r="D25" s="847">
        <f t="shared" si="4"/>
        <v>222200000</v>
      </c>
      <c r="E25" s="932">
        <f>ROUND((D24*0.12/365*30),0)</f>
        <v>2465556</v>
      </c>
      <c r="F25" s="933">
        <v>42260</v>
      </c>
      <c r="G25" s="866">
        <v>27780000</v>
      </c>
      <c r="H25" s="847">
        <f t="shared" si="5"/>
        <v>111080000</v>
      </c>
      <c r="I25" s="932">
        <f>ROUND((H24*0.12/365*30),0)</f>
        <v>1369578</v>
      </c>
      <c r="J25" s="935" t="s">
        <v>1933</v>
      </c>
      <c r="K25" s="866">
        <v>27740000</v>
      </c>
      <c r="L25" s="847">
        <f t="shared" si="6"/>
        <v>0</v>
      </c>
      <c r="M25" s="932">
        <f>ROUND((L24*0.12/365*30),0)</f>
        <v>273600</v>
      </c>
    </row>
    <row r="26" spans="2:16">
      <c r="B26" s="933">
        <v>41925</v>
      </c>
      <c r="C26" s="838"/>
      <c r="D26" s="847">
        <f t="shared" si="4"/>
        <v>222200000</v>
      </c>
      <c r="E26" s="932">
        <f>ROUND((D25*0.12/365*31),0)</f>
        <v>2264614</v>
      </c>
      <c r="F26" s="933">
        <v>42290</v>
      </c>
      <c r="G26" s="838"/>
      <c r="H26" s="847">
        <f t="shared" si="5"/>
        <v>111080000</v>
      </c>
      <c r="I26" s="932">
        <f>ROUND((H25*0.12/365*31),0)</f>
        <v>1132103</v>
      </c>
      <c r="K26" s="838"/>
      <c r="L26" s="847">
        <f t="shared" si="6"/>
        <v>0</v>
      </c>
      <c r="M26" s="932">
        <f>ROUND((L25*0.12/365*31),0)</f>
        <v>0</v>
      </c>
      <c r="P26" s="868" t="s">
        <v>426</v>
      </c>
    </row>
    <row r="27" spans="2:16">
      <c r="B27" s="933">
        <v>41956</v>
      </c>
      <c r="C27" s="866"/>
      <c r="D27" s="847">
        <f t="shared" si="4"/>
        <v>222200000</v>
      </c>
      <c r="E27" s="932">
        <f>ROUND((D26*0.12/365*30),0)</f>
        <v>2191562</v>
      </c>
      <c r="F27" s="933">
        <v>42321</v>
      </c>
      <c r="G27" s="866"/>
      <c r="H27" s="847">
        <f t="shared" si="5"/>
        <v>111080000</v>
      </c>
      <c r="I27" s="932">
        <f>ROUND((H26*0.12/365*30),0)</f>
        <v>1095584</v>
      </c>
      <c r="J27" s="933"/>
      <c r="K27" s="866"/>
      <c r="L27" s="847">
        <f t="shared" si="6"/>
        <v>0</v>
      </c>
      <c r="M27" s="932">
        <f>ROUND((L26*0.12/365*30),0)</f>
        <v>0</v>
      </c>
    </row>
    <row r="28" spans="2:16">
      <c r="B28" s="933">
        <v>41986</v>
      </c>
      <c r="C28" s="866">
        <v>27780000</v>
      </c>
      <c r="D28" s="847">
        <f t="shared" si="4"/>
        <v>194420000</v>
      </c>
      <c r="E28" s="932">
        <f>ROUND((D27*0.12/365*31),0)</f>
        <v>2264614</v>
      </c>
      <c r="F28" s="933">
        <v>42351</v>
      </c>
      <c r="G28" s="866">
        <v>27780000</v>
      </c>
      <c r="H28" s="847">
        <f t="shared" si="5"/>
        <v>83300000</v>
      </c>
      <c r="I28" s="932">
        <f>ROUND((H27*0.12/365*31),0)</f>
        <v>1132103</v>
      </c>
      <c r="J28" s="933"/>
      <c r="K28" s="866"/>
      <c r="L28" s="847">
        <f t="shared" si="6"/>
        <v>0</v>
      </c>
      <c r="M28" s="932">
        <f>ROUND((L27*0.12/365*31),0)</f>
        <v>0</v>
      </c>
    </row>
    <row r="29" spans="2:16">
      <c r="B29" s="933">
        <v>42017</v>
      </c>
      <c r="C29" s="838"/>
      <c r="D29" s="847">
        <f t="shared" si="4"/>
        <v>194420000</v>
      </c>
      <c r="E29" s="932">
        <f>ROUND((D28*0.12/365*31),0)</f>
        <v>1981486</v>
      </c>
      <c r="F29" s="933">
        <v>42382</v>
      </c>
      <c r="G29" s="838"/>
      <c r="H29" s="847">
        <f t="shared" si="5"/>
        <v>83300000</v>
      </c>
      <c r="I29" s="932">
        <f>ROUND((H28*0.12/365*31),0)</f>
        <v>848975</v>
      </c>
      <c r="J29" s="933"/>
      <c r="K29" s="838"/>
      <c r="L29" s="847">
        <f t="shared" si="6"/>
        <v>0</v>
      </c>
      <c r="M29" s="932">
        <f>ROUND((L28*0.12/365*31),0)</f>
        <v>0</v>
      </c>
    </row>
    <row r="30" spans="2:16">
      <c r="B30" s="933">
        <v>42048</v>
      </c>
      <c r="C30" s="866"/>
      <c r="D30" s="847">
        <f t="shared" si="4"/>
        <v>194420000</v>
      </c>
      <c r="E30" s="932">
        <f>ROUND((D29*0.12/365*28),0)</f>
        <v>1789729</v>
      </c>
      <c r="F30" s="933">
        <v>42413</v>
      </c>
      <c r="G30" s="866"/>
      <c r="H30" s="847">
        <f t="shared" si="5"/>
        <v>83300000</v>
      </c>
      <c r="I30" s="932">
        <f>ROUND((H29*0.12/365*29),0)</f>
        <v>794203</v>
      </c>
      <c r="J30" s="933"/>
      <c r="K30" s="866"/>
      <c r="L30" s="847">
        <f t="shared" si="6"/>
        <v>0</v>
      </c>
      <c r="M30" s="932">
        <f>ROUND((L29*0.12/365*28),0)</f>
        <v>0</v>
      </c>
    </row>
    <row r="31" spans="2:16">
      <c r="B31" s="933">
        <v>42076</v>
      </c>
      <c r="C31" s="866">
        <v>27780000</v>
      </c>
      <c r="D31" s="847">
        <f t="shared" si="4"/>
        <v>166640000</v>
      </c>
      <c r="E31" s="932">
        <f>ROUND((D30*0.12/365*31),0)</f>
        <v>1981486</v>
      </c>
      <c r="F31" s="933">
        <v>42442</v>
      </c>
      <c r="G31" s="866">
        <v>27780000</v>
      </c>
      <c r="H31" s="847">
        <f t="shared" si="5"/>
        <v>55520000</v>
      </c>
      <c r="I31" s="932">
        <f>ROUND((H30*0.12/365*31),0)</f>
        <v>848975</v>
      </c>
      <c r="J31" s="936"/>
      <c r="K31" s="866"/>
      <c r="L31" s="847">
        <f t="shared" si="6"/>
        <v>0</v>
      </c>
      <c r="M31" s="932">
        <f>ROUND((L30*0.12/365*31),0)</f>
        <v>0</v>
      </c>
    </row>
    <row r="32" spans="2:16">
      <c r="B32" s="904" t="s">
        <v>287</v>
      </c>
      <c r="C32" s="905">
        <f>SUM(C19:C31)</f>
        <v>111120000</v>
      </c>
      <c r="D32" s="905"/>
      <c r="E32" s="906">
        <f>SUM(E20:E31)</f>
        <v>28344500</v>
      </c>
      <c r="F32" s="904" t="s">
        <v>287</v>
      </c>
      <c r="G32" s="905">
        <f>SUM(G19:G31)</f>
        <v>111120000</v>
      </c>
      <c r="H32" s="905"/>
      <c r="I32" s="906">
        <f>SUM(I20:I31)</f>
        <v>15037487</v>
      </c>
      <c r="J32" s="937"/>
      <c r="K32" s="905">
        <f>SUM(K19:K31)</f>
        <v>55520000</v>
      </c>
      <c r="L32" s="905"/>
      <c r="M32" s="906">
        <f>SUM(M20:M31)</f>
        <v>2500078</v>
      </c>
    </row>
    <row r="33" spans="2:9" ht="17.25" customHeight="1">
      <c r="B33" s="838"/>
      <c r="C33" s="838"/>
      <c r="D33" s="875"/>
      <c r="E33" s="875"/>
      <c r="F33" s="866"/>
      <c r="G33" s="866"/>
      <c r="H33" s="875"/>
      <c r="I33" s="875"/>
    </row>
    <row r="34" spans="2:9">
      <c r="F34" s="843"/>
      <c r="G34" s="843"/>
      <c r="H34" s="844"/>
      <c r="I34" s="844"/>
    </row>
    <row r="35" spans="2:9">
      <c r="F35" s="838"/>
      <c r="G35" s="838"/>
      <c r="H35" s="838"/>
      <c r="I35" s="851"/>
    </row>
    <row r="36" spans="2:9">
      <c r="F36" s="838"/>
      <c r="G36" s="838"/>
      <c r="H36" s="847"/>
      <c r="I36" s="847"/>
    </row>
    <row r="37" spans="2:9">
      <c r="F37" s="838"/>
      <c r="G37" s="838"/>
      <c r="H37" s="847"/>
      <c r="I37" s="847"/>
    </row>
    <row r="38" spans="2:9">
      <c r="F38" s="838"/>
      <c r="G38" s="838"/>
      <c r="H38" s="847"/>
      <c r="I38" s="847"/>
    </row>
    <row r="39" spans="2:9">
      <c r="F39" s="838"/>
      <c r="G39" s="838"/>
      <c r="H39" s="847"/>
      <c r="I39" s="847"/>
    </row>
    <row r="40" spans="2:9">
      <c r="F40" s="838"/>
      <c r="G40" s="838"/>
      <c r="H40" s="847"/>
      <c r="I40" s="847"/>
    </row>
    <row r="41" spans="2:9">
      <c r="F41" s="838"/>
      <c r="G41" s="838"/>
      <c r="H41" s="847"/>
      <c r="I41" s="847"/>
    </row>
    <row r="42" spans="2:9">
      <c r="F42" s="838"/>
      <c r="G42" s="838"/>
      <c r="H42" s="847"/>
      <c r="I42" s="847"/>
    </row>
    <row r="43" spans="2:9">
      <c r="F43" s="838"/>
      <c r="G43" s="838"/>
      <c r="H43" s="847"/>
      <c r="I43" s="847"/>
    </row>
    <row r="44" spans="2:9">
      <c r="F44" s="838"/>
      <c r="G44" s="838"/>
      <c r="H44" s="847"/>
      <c r="I44" s="847"/>
    </row>
    <row r="45" spans="2:9">
      <c r="F45" s="838"/>
      <c r="G45" s="838"/>
      <c r="H45" s="847"/>
      <c r="I45" s="847"/>
    </row>
    <row r="46" spans="2:9">
      <c r="F46" s="838"/>
      <c r="G46" s="838"/>
      <c r="H46" s="847"/>
      <c r="I46" s="847"/>
    </row>
    <row r="47" spans="2:9">
      <c r="F47" s="838"/>
      <c r="G47" s="838"/>
      <c r="H47" s="847"/>
      <c r="I47" s="847"/>
    </row>
    <row r="48" spans="2:9">
      <c r="F48" s="866"/>
      <c r="G48" s="866"/>
      <c r="H48" s="866"/>
      <c r="I48" s="866"/>
    </row>
    <row r="49" spans="6:9" ht="21" customHeight="1"/>
    <row r="50" spans="6:9">
      <c r="F50" s="843"/>
      <c r="G50" s="843"/>
      <c r="H50" s="844"/>
      <c r="I50" s="844"/>
    </row>
    <row r="51" spans="6:9">
      <c r="F51" s="838"/>
      <c r="G51" s="838"/>
      <c r="H51" s="838"/>
      <c r="I51" s="851"/>
    </row>
    <row r="52" spans="6:9">
      <c r="F52" s="838"/>
      <c r="G52" s="838"/>
      <c r="H52" s="847"/>
      <c r="I52" s="847"/>
    </row>
    <row r="53" spans="6:9">
      <c r="F53" s="838"/>
      <c r="G53" s="838"/>
      <c r="H53" s="847"/>
      <c r="I53" s="847"/>
    </row>
    <row r="54" spans="6:9">
      <c r="F54" s="838"/>
      <c r="G54" s="838"/>
      <c r="H54" s="847"/>
      <c r="I54" s="847"/>
    </row>
    <row r="55" spans="6:9">
      <c r="F55" s="838"/>
      <c r="G55" s="838"/>
      <c r="H55" s="847"/>
      <c r="I55" s="847"/>
    </row>
    <row r="56" spans="6:9">
      <c r="F56" s="838"/>
      <c r="G56" s="838"/>
      <c r="H56" s="847"/>
      <c r="I56" s="847"/>
    </row>
    <row r="57" spans="6:9">
      <c r="F57" s="838"/>
      <c r="G57" s="838"/>
      <c r="H57" s="847"/>
      <c r="I57" s="847"/>
    </row>
    <row r="58" spans="6:9">
      <c r="F58" s="838"/>
      <c r="G58" s="838"/>
      <c r="H58" s="847"/>
      <c r="I58" s="847"/>
    </row>
    <row r="59" spans="6:9">
      <c r="F59" s="838"/>
      <c r="G59" s="838"/>
      <c r="H59" s="847"/>
      <c r="I59" s="847"/>
    </row>
    <row r="60" spans="6:9">
      <c r="F60" s="838"/>
      <c r="G60" s="838"/>
      <c r="H60" s="847"/>
      <c r="I60" s="847"/>
    </row>
    <row r="61" spans="6:9">
      <c r="F61" s="838"/>
      <c r="G61" s="838"/>
      <c r="H61" s="847"/>
      <c r="I61" s="847"/>
    </row>
    <row r="62" spans="6:9">
      <c r="F62" s="838"/>
      <c r="G62" s="838"/>
      <c r="H62" s="847"/>
      <c r="I62" s="847"/>
    </row>
    <row r="63" spans="6:9">
      <c r="F63" s="838"/>
      <c r="G63" s="838"/>
      <c r="H63" s="847"/>
      <c r="I63" s="847"/>
    </row>
    <row r="64" spans="6:9">
      <c r="F64" s="866"/>
      <c r="G64" s="866"/>
      <c r="H64" s="866"/>
      <c r="I64" s="866"/>
    </row>
    <row r="65" spans="2:9" ht="18.75" customHeight="1"/>
    <row r="66" spans="2:9">
      <c r="B66" s="838"/>
      <c r="C66" s="843" t="s">
        <v>1278</v>
      </c>
      <c r="D66" s="839">
        <v>2</v>
      </c>
      <c r="E66" s="844" t="s">
        <v>1895</v>
      </c>
      <c r="F66" s="843"/>
      <c r="G66" s="843"/>
      <c r="H66" s="844"/>
      <c r="I66" s="844"/>
    </row>
    <row r="67" spans="2:9">
      <c r="B67" s="843" t="s">
        <v>1898</v>
      </c>
      <c r="C67" s="838"/>
      <c r="D67" s="838">
        <v>284000000</v>
      </c>
      <c r="E67" s="850">
        <v>9.7500000000000003E-2</v>
      </c>
      <c r="F67" s="838"/>
      <c r="G67" s="838"/>
      <c r="H67" s="838"/>
      <c r="I67" s="851"/>
    </row>
    <row r="68" spans="2:9">
      <c r="B68" s="877">
        <v>42107</v>
      </c>
      <c r="C68" s="838">
        <v>35800000</v>
      </c>
      <c r="D68" s="847">
        <f t="shared" ref="D68:D79" si="7">D67-C68</f>
        <v>248200000</v>
      </c>
      <c r="E68" s="843">
        <f>ROUND((D67*0.0975/365*11)+(D68*0.0975/365*19),0)</f>
        <v>2094193</v>
      </c>
      <c r="F68" s="838"/>
      <c r="G68" s="838"/>
      <c r="H68" s="847"/>
      <c r="I68" s="847"/>
    </row>
    <row r="69" spans="2:9">
      <c r="B69" s="877">
        <v>42137</v>
      </c>
      <c r="C69" s="838"/>
      <c r="D69" s="847">
        <f t="shared" si="7"/>
        <v>248200000</v>
      </c>
      <c r="E69" s="843">
        <f>ROUND((D68*0.0975/365*31),0)</f>
        <v>2055300</v>
      </c>
      <c r="F69" s="838"/>
      <c r="G69" s="838"/>
      <c r="H69" s="847"/>
      <c r="I69" s="847"/>
    </row>
    <row r="70" spans="2:9">
      <c r="B70" s="877">
        <v>42168</v>
      </c>
      <c r="C70" s="866"/>
      <c r="D70" s="847">
        <f t="shared" si="7"/>
        <v>248200000</v>
      </c>
      <c r="E70" s="843">
        <f>ROUND((D69*0.0975/365*30),0)</f>
        <v>1989000</v>
      </c>
      <c r="F70" s="838"/>
      <c r="G70" s="838"/>
      <c r="H70" s="847"/>
      <c r="I70" s="847"/>
    </row>
    <row r="71" spans="2:9">
      <c r="B71" s="877">
        <v>42198</v>
      </c>
      <c r="C71" s="838">
        <v>35800000</v>
      </c>
      <c r="D71" s="847">
        <f t="shared" si="7"/>
        <v>212400000</v>
      </c>
      <c r="E71" s="843">
        <f>ROUND((D70*0.0975/365*11)+(D71*0.0975/365*20),0)</f>
        <v>1864040</v>
      </c>
      <c r="F71" s="838"/>
      <c r="G71" s="838"/>
      <c r="H71" s="847"/>
      <c r="I71" s="847"/>
    </row>
    <row r="72" spans="2:9">
      <c r="B72" s="877">
        <v>42229</v>
      </c>
      <c r="C72" s="843"/>
      <c r="D72" s="847">
        <f t="shared" si="7"/>
        <v>212400000</v>
      </c>
      <c r="E72" s="843">
        <f>ROUND((D71*0.0975/365*31),0)</f>
        <v>1758847</v>
      </c>
      <c r="F72" s="838"/>
      <c r="G72" s="838"/>
      <c r="H72" s="847"/>
      <c r="I72" s="847"/>
    </row>
    <row r="73" spans="2:9">
      <c r="B73" s="877">
        <v>42260</v>
      </c>
      <c r="C73" s="866"/>
      <c r="D73" s="847">
        <f t="shared" si="7"/>
        <v>212400000</v>
      </c>
      <c r="E73" s="843">
        <f>ROUND((D72*0.0975/365*30),0)</f>
        <v>1702110</v>
      </c>
      <c r="F73" s="838"/>
      <c r="G73" s="838"/>
      <c r="H73" s="847"/>
      <c r="I73" s="847"/>
    </row>
    <row r="74" spans="2:9">
      <c r="B74" s="877">
        <v>42290</v>
      </c>
      <c r="C74" s="838">
        <v>35800000</v>
      </c>
      <c r="D74" s="847">
        <f t="shared" si="7"/>
        <v>176600000</v>
      </c>
      <c r="E74" s="843">
        <f>ROUND((D73*0.0975/365*11)+(D74*0.0975/365*20),0)</f>
        <v>1567586</v>
      </c>
      <c r="F74" s="838"/>
      <c r="G74" s="838"/>
      <c r="H74" s="847"/>
      <c r="I74" s="847"/>
    </row>
    <row r="75" spans="2:9">
      <c r="B75" s="877">
        <v>42321</v>
      </c>
      <c r="C75" s="866"/>
      <c r="D75" s="847">
        <f t="shared" si="7"/>
        <v>176600000</v>
      </c>
      <c r="E75" s="843">
        <f>ROUND((D74*0.0975/365*30),0)</f>
        <v>1415219</v>
      </c>
      <c r="F75" s="838"/>
      <c r="G75" s="838"/>
      <c r="H75" s="847"/>
      <c r="I75" s="847"/>
    </row>
    <row r="76" spans="2:9">
      <c r="B76" s="877">
        <v>42351</v>
      </c>
      <c r="C76" s="843"/>
      <c r="D76" s="847">
        <f t="shared" si="7"/>
        <v>176600000</v>
      </c>
      <c r="E76" s="843">
        <f>ROUND((D75*0.0975/365*31),0)</f>
        <v>1462393</v>
      </c>
      <c r="F76" s="838"/>
      <c r="G76" s="838"/>
      <c r="H76" s="847"/>
      <c r="I76" s="847"/>
    </row>
    <row r="77" spans="2:9">
      <c r="B77" s="877">
        <v>42382</v>
      </c>
      <c r="C77" s="838">
        <v>35800000</v>
      </c>
      <c r="D77" s="847">
        <f t="shared" si="7"/>
        <v>140800000</v>
      </c>
      <c r="E77" s="843">
        <f>ROUND((D76*0.0975/365*12)+(D77*0.0975/365*19),0)</f>
        <v>1280696</v>
      </c>
      <c r="F77" s="838"/>
      <c r="G77" s="838"/>
      <c r="H77" s="847"/>
      <c r="I77" s="847"/>
    </row>
    <row r="78" spans="2:9">
      <c r="B78" s="877">
        <v>42413</v>
      </c>
      <c r="C78" s="866"/>
      <c r="D78" s="847">
        <f t="shared" si="7"/>
        <v>140800000</v>
      </c>
      <c r="E78" s="843">
        <f>ROUND((D77*0.0975/366*29),0)</f>
        <v>1087738</v>
      </c>
      <c r="F78" s="838"/>
      <c r="G78" s="838"/>
      <c r="H78" s="847"/>
      <c r="I78" s="847"/>
    </row>
    <row r="79" spans="2:9">
      <c r="B79" s="877">
        <v>42442</v>
      </c>
      <c r="C79" s="838"/>
      <c r="D79" s="847">
        <f t="shared" si="7"/>
        <v>140800000</v>
      </c>
      <c r="E79" s="843">
        <f>ROUND((D78*0.0975/366*31),0)</f>
        <v>1162754</v>
      </c>
      <c r="F79" s="838"/>
      <c r="G79" s="838"/>
      <c r="H79" s="847"/>
      <c r="I79" s="847"/>
    </row>
    <row r="80" spans="2:9">
      <c r="B80" s="866" t="s">
        <v>287</v>
      </c>
      <c r="C80" s="866">
        <f>SUM(C67:C79)</f>
        <v>143200000</v>
      </c>
      <c r="D80" s="866"/>
      <c r="E80" s="866">
        <f>SUM(E68:E79)</f>
        <v>19439876</v>
      </c>
      <c r="F80" s="866"/>
      <c r="G80" s="866"/>
      <c r="H80" s="866"/>
      <c r="I80" s="866"/>
    </row>
    <row r="81" spans="2:9" ht="18" customHeight="1"/>
    <row r="82" spans="2:9">
      <c r="B82" s="838"/>
      <c r="C82" s="843" t="s">
        <v>1278</v>
      </c>
      <c r="D82" s="839">
        <v>2</v>
      </c>
      <c r="E82" s="844" t="s">
        <v>1895</v>
      </c>
      <c r="F82" s="843"/>
      <c r="G82" s="843"/>
      <c r="H82" s="844"/>
      <c r="I82" s="844"/>
    </row>
    <row r="83" spans="2:9">
      <c r="B83" s="843" t="s">
        <v>1898</v>
      </c>
      <c r="C83" s="838"/>
      <c r="D83" s="838">
        <v>140800000</v>
      </c>
      <c r="E83" s="850">
        <v>9.7500000000000003E-2</v>
      </c>
      <c r="F83" s="838"/>
      <c r="G83" s="838"/>
      <c r="H83" s="838"/>
      <c r="I83" s="851"/>
    </row>
    <row r="84" spans="2:9">
      <c r="C84" s="838">
        <v>35800000</v>
      </c>
      <c r="D84" s="847">
        <f t="shared" ref="D84:D95" si="8">D83-C84</f>
        <v>105000000</v>
      </c>
      <c r="E84" s="843">
        <f>ROUND((D83*0.0975/365*11)+(D84*0.0975/365*19),0)</f>
        <v>946632</v>
      </c>
      <c r="F84" s="838"/>
      <c r="G84" s="838"/>
      <c r="H84" s="847"/>
      <c r="I84" s="847"/>
    </row>
    <row r="85" spans="2:9">
      <c r="C85" s="838"/>
      <c r="D85" s="847">
        <f t="shared" si="8"/>
        <v>105000000</v>
      </c>
      <c r="E85" s="843">
        <f>ROUND((D84*0.0975/365*31),0)</f>
        <v>869486</v>
      </c>
      <c r="F85" s="838"/>
      <c r="G85" s="838"/>
      <c r="H85" s="847"/>
      <c r="I85" s="847"/>
    </row>
    <row r="86" spans="2:9">
      <c r="C86" s="866"/>
      <c r="D86" s="847">
        <f t="shared" si="8"/>
        <v>105000000</v>
      </c>
      <c r="E86" s="843">
        <f>ROUND((D85*0.0975/365*30),0)</f>
        <v>841438</v>
      </c>
      <c r="F86" s="838"/>
      <c r="G86" s="838"/>
      <c r="H86" s="847"/>
      <c r="I86" s="847"/>
    </row>
    <row r="87" spans="2:9">
      <c r="C87" s="838">
        <v>35800000</v>
      </c>
      <c r="D87" s="847">
        <f t="shared" si="8"/>
        <v>69200000</v>
      </c>
      <c r="E87" s="843">
        <f>ROUND((D86*0.0975/365*11)+(D87*0.0975/365*20),0)</f>
        <v>678226</v>
      </c>
      <c r="F87" s="838"/>
      <c r="G87" s="838"/>
      <c r="H87" s="847"/>
      <c r="I87" s="847"/>
    </row>
    <row r="88" spans="2:9">
      <c r="C88" s="843"/>
      <c r="D88" s="847">
        <f t="shared" si="8"/>
        <v>69200000</v>
      </c>
      <c r="E88" s="843">
        <f>ROUND((D87*0.0975/365*31),0)</f>
        <v>573033</v>
      </c>
      <c r="F88" s="838"/>
      <c r="G88" s="838"/>
      <c r="H88" s="847"/>
      <c r="I88" s="847"/>
    </row>
    <row r="89" spans="2:9">
      <c r="C89" s="866"/>
      <c r="D89" s="847">
        <f t="shared" si="8"/>
        <v>69200000</v>
      </c>
      <c r="E89" s="843">
        <f>ROUND((D88*0.0975/365*30),0)</f>
        <v>554548</v>
      </c>
      <c r="F89" s="838"/>
      <c r="G89" s="838"/>
      <c r="H89" s="847"/>
      <c r="I89" s="847"/>
    </row>
    <row r="90" spans="2:9">
      <c r="C90" s="838">
        <v>35800000</v>
      </c>
      <c r="D90" s="847">
        <f t="shared" si="8"/>
        <v>33400000</v>
      </c>
      <c r="E90" s="843">
        <f>ROUND((D89*0.0975/365*11)+(D90*0.0975/365*20),0)</f>
        <v>381773</v>
      </c>
      <c r="F90" s="838"/>
      <c r="G90" s="838"/>
      <c r="H90" s="847"/>
      <c r="I90" s="847"/>
    </row>
    <row r="91" spans="2:9">
      <c r="C91" s="866"/>
      <c r="D91" s="847">
        <f t="shared" si="8"/>
        <v>33400000</v>
      </c>
      <c r="E91" s="843">
        <f>ROUND((D90*0.0975/365*30),0)</f>
        <v>267658</v>
      </c>
      <c r="F91" s="838"/>
      <c r="G91" s="838"/>
      <c r="H91" s="847"/>
      <c r="I91" s="847"/>
    </row>
    <row r="92" spans="2:9">
      <c r="C92" s="843"/>
      <c r="D92" s="847">
        <f t="shared" si="8"/>
        <v>33400000</v>
      </c>
      <c r="E92" s="843">
        <f>ROUND((D91*0.0975/365*31),0)</f>
        <v>276579</v>
      </c>
      <c r="F92" s="838"/>
      <c r="G92" s="838"/>
      <c r="H92" s="847"/>
      <c r="I92" s="847"/>
    </row>
    <row r="93" spans="2:9">
      <c r="C93" s="838">
        <v>33400000</v>
      </c>
      <c r="D93" s="847">
        <f t="shared" si="8"/>
        <v>0</v>
      </c>
      <c r="E93" s="843">
        <f>ROUND((D92*0.0975/365*12),0)</f>
        <v>107063</v>
      </c>
      <c r="F93" s="838"/>
      <c r="G93" s="838"/>
      <c r="H93" s="847"/>
      <c r="I93" s="847"/>
    </row>
    <row r="94" spans="2:9">
      <c r="C94" s="866"/>
      <c r="D94" s="847">
        <f t="shared" si="8"/>
        <v>0</v>
      </c>
      <c r="E94" s="843">
        <f>ROUND((D93*0.0975/366*29),0)</f>
        <v>0</v>
      </c>
      <c r="F94" s="838"/>
      <c r="G94" s="838"/>
      <c r="H94" s="847"/>
      <c r="I94" s="847"/>
    </row>
    <row r="95" spans="2:9">
      <c r="C95" s="838"/>
      <c r="D95" s="847">
        <f t="shared" si="8"/>
        <v>0</v>
      </c>
      <c r="E95" s="843">
        <f>ROUND((D94*0.0975/366*31),0)</f>
        <v>0</v>
      </c>
      <c r="F95" s="838"/>
      <c r="G95" s="838"/>
      <c r="H95" s="847"/>
      <c r="I95" s="847"/>
    </row>
    <row r="96" spans="2:9">
      <c r="B96" s="866" t="s">
        <v>287</v>
      </c>
      <c r="C96" s="866">
        <f>SUM(C83:C95)</f>
        <v>140800000</v>
      </c>
      <c r="D96" s="866"/>
      <c r="E96" s="866">
        <f>SUM(E84:E95)</f>
        <v>5496436</v>
      </c>
      <c r="F96" s="866"/>
      <c r="G96" s="866"/>
      <c r="H96" s="866"/>
      <c r="I96" s="866"/>
    </row>
    <row r="97" spans="2:9" ht="18.75" customHeight="1"/>
    <row r="98" spans="2:9">
      <c r="B98" s="838"/>
      <c r="C98" s="881" t="s">
        <v>1278</v>
      </c>
      <c r="D98" s="882">
        <v>2</v>
      </c>
      <c r="E98" s="882" t="s">
        <v>1895</v>
      </c>
      <c r="F98" s="843"/>
      <c r="G98" s="843"/>
      <c r="H98" s="844"/>
      <c r="I98" s="844"/>
    </row>
    <row r="99" spans="2:9">
      <c r="B99" s="843" t="s">
        <v>1898</v>
      </c>
      <c r="C99" s="881"/>
      <c r="D99" s="881">
        <v>0</v>
      </c>
      <c r="E99" s="887">
        <v>0</v>
      </c>
      <c r="F99" s="838"/>
      <c r="G99" s="838"/>
      <c r="H99" s="838"/>
      <c r="I99" s="851"/>
    </row>
    <row r="100" spans="2:9">
      <c r="B100" s="877">
        <v>42838</v>
      </c>
      <c r="C100" s="881">
        <v>0</v>
      </c>
      <c r="D100" s="879">
        <f t="shared" ref="D100:D111" si="9">D99-C100</f>
        <v>0</v>
      </c>
      <c r="E100" s="881">
        <f>ROUND((D99*0.0975/365*11)+(D100*0.0975/365*19),0)</f>
        <v>0</v>
      </c>
      <c r="F100" s="838"/>
      <c r="G100" s="838"/>
      <c r="H100" s="847"/>
      <c r="I100" s="847"/>
    </row>
    <row r="101" spans="2:9">
      <c r="B101" s="877">
        <v>42868</v>
      </c>
      <c r="C101" s="881"/>
      <c r="D101" s="879">
        <f t="shared" si="9"/>
        <v>0</v>
      </c>
      <c r="E101" s="881">
        <f>ROUND((D100*0.0975/365*31),0)</f>
        <v>0</v>
      </c>
      <c r="F101" s="838"/>
      <c r="G101" s="838"/>
      <c r="H101" s="847"/>
      <c r="I101" s="847"/>
    </row>
    <row r="102" spans="2:9">
      <c r="B102" s="877">
        <v>42899</v>
      </c>
      <c r="C102" s="886"/>
      <c r="D102" s="879">
        <f t="shared" si="9"/>
        <v>0</v>
      </c>
      <c r="E102" s="881">
        <f>ROUND((D101*0.0975/365*30),0)</f>
        <v>0</v>
      </c>
      <c r="F102" s="838"/>
      <c r="G102" s="838"/>
      <c r="H102" s="847"/>
      <c r="I102" s="847"/>
    </row>
    <row r="103" spans="2:9">
      <c r="B103" s="877">
        <v>42929</v>
      </c>
      <c r="C103" s="881">
        <v>0</v>
      </c>
      <c r="D103" s="879">
        <f t="shared" si="9"/>
        <v>0</v>
      </c>
      <c r="E103" s="881">
        <f>ROUND((D102*0.0975/365*11)+(D103*0.0975/365*20),0)</f>
        <v>0</v>
      </c>
      <c r="F103" s="838"/>
      <c r="G103" s="838"/>
      <c r="H103" s="847"/>
      <c r="I103" s="847"/>
    </row>
    <row r="104" spans="2:9">
      <c r="B104" s="877">
        <v>42960</v>
      </c>
      <c r="C104" s="881"/>
      <c r="D104" s="879">
        <f t="shared" si="9"/>
        <v>0</v>
      </c>
      <c r="E104" s="881">
        <f>ROUND((D103*0.0975/365*31),0)</f>
        <v>0</v>
      </c>
      <c r="F104" s="838"/>
      <c r="G104" s="838"/>
      <c r="H104" s="847"/>
      <c r="I104" s="847"/>
    </row>
    <row r="105" spans="2:9">
      <c r="B105" s="877">
        <v>42991</v>
      </c>
      <c r="C105" s="886"/>
      <c r="D105" s="879">
        <f t="shared" si="9"/>
        <v>0</v>
      </c>
      <c r="E105" s="881">
        <f>ROUND((D104*0.0975/365*30),0)</f>
        <v>0</v>
      </c>
      <c r="F105" s="838"/>
      <c r="G105" s="838"/>
      <c r="H105" s="847"/>
      <c r="I105" s="847"/>
    </row>
    <row r="106" spans="2:9">
      <c r="B106" s="877">
        <v>43021</v>
      </c>
      <c r="C106" s="881">
        <v>0</v>
      </c>
      <c r="D106" s="879">
        <f t="shared" si="9"/>
        <v>0</v>
      </c>
      <c r="E106" s="881">
        <f>ROUND((D105*0.0975/365*11)+(D106*0.0975/365*20),0)</f>
        <v>0</v>
      </c>
      <c r="F106" s="838"/>
      <c r="G106" s="838"/>
      <c r="H106" s="847"/>
      <c r="I106" s="847"/>
    </row>
    <row r="107" spans="2:9">
      <c r="B107" s="877">
        <v>43052</v>
      </c>
      <c r="C107" s="886"/>
      <c r="D107" s="879">
        <f t="shared" si="9"/>
        <v>0</v>
      </c>
      <c r="E107" s="881">
        <f>ROUND((D106*0.0975/365*30),0)</f>
        <v>0</v>
      </c>
      <c r="F107" s="838"/>
      <c r="G107" s="838"/>
      <c r="H107" s="847"/>
      <c r="I107" s="847"/>
    </row>
    <row r="108" spans="2:9">
      <c r="B108" s="877">
        <v>43082</v>
      </c>
      <c r="C108" s="881"/>
      <c r="D108" s="879">
        <f t="shared" si="9"/>
        <v>0</v>
      </c>
      <c r="E108" s="881">
        <f>ROUND((D107*0.0975/365*31),0)</f>
        <v>0</v>
      </c>
      <c r="F108" s="838"/>
      <c r="G108" s="838"/>
      <c r="H108" s="847"/>
      <c r="I108" s="847"/>
    </row>
    <row r="109" spans="2:9">
      <c r="B109" s="877">
        <v>43113</v>
      </c>
      <c r="C109" s="881">
        <v>0</v>
      </c>
      <c r="D109" s="879">
        <f t="shared" si="9"/>
        <v>0</v>
      </c>
      <c r="E109" s="881">
        <f>ROUND((D108*0.0975/365*12),0)</f>
        <v>0</v>
      </c>
      <c r="F109" s="838"/>
      <c r="G109" s="838"/>
      <c r="H109" s="847"/>
      <c r="I109" s="847"/>
    </row>
    <row r="110" spans="2:9" s="892" customFormat="1" ht="12.75" customHeight="1">
      <c r="B110" s="888"/>
      <c r="C110" s="886"/>
      <c r="D110" s="879">
        <f t="shared" si="9"/>
        <v>0</v>
      </c>
      <c r="E110" s="881">
        <f>ROUND((D109*0.0975/366*29),0)</f>
        <v>0</v>
      </c>
      <c r="F110" s="881"/>
      <c r="G110" s="881"/>
      <c r="H110" s="878"/>
      <c r="I110" s="879"/>
    </row>
    <row r="111" spans="2:9" s="892" customFormat="1" ht="11.25" customHeight="1">
      <c r="B111" s="888"/>
      <c r="C111" s="881"/>
      <c r="D111" s="879">
        <f t="shared" si="9"/>
        <v>0</v>
      </c>
      <c r="E111" s="881">
        <f>ROUND((D110*0.0975/366*31),0)</f>
        <v>0</v>
      </c>
      <c r="F111" s="881"/>
      <c r="G111" s="881"/>
      <c r="H111" s="879"/>
      <c r="I111" s="879"/>
    </row>
    <row r="112" spans="2:9">
      <c r="B112" s="866" t="s">
        <v>287</v>
      </c>
      <c r="C112" s="886">
        <f>SUM(C99:C111)</f>
        <v>0</v>
      </c>
      <c r="D112" s="886"/>
      <c r="E112" s="886">
        <f>SUM(E100:E111)</f>
        <v>0</v>
      </c>
      <c r="F112" s="866"/>
      <c r="G112" s="866"/>
      <c r="H112" s="866"/>
      <c r="I112" s="866"/>
    </row>
    <row r="114" spans="9:9">
      <c r="I114" s="868"/>
    </row>
  </sheetData>
  <printOptions gridLines="1"/>
  <pageMargins left="0.20866141699999999" right="0.20866141699999999" top="1.2480314960000001" bottom="1.2480314960000001" header="0.31496062992126" footer="0.31496062992126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1:M114"/>
  <sheetViews>
    <sheetView zoomScale="85" zoomScaleNormal="85" workbookViewId="0">
      <selection activeCell="G26" sqref="G26"/>
    </sheetView>
  </sheetViews>
  <sheetFormatPr defaultRowHeight="12.75"/>
  <cols>
    <col min="1" max="1" width="9.28515625" style="837" customWidth="1"/>
    <col min="2" max="2" width="7.28515625" style="837" customWidth="1"/>
    <col min="3" max="3" width="10.140625" style="837" customWidth="1"/>
    <col min="4" max="4" width="15.42578125" style="837" customWidth="1"/>
    <col min="5" max="5" width="15.85546875" style="837" customWidth="1"/>
    <col min="6" max="6" width="19.5703125" style="837" customWidth="1"/>
    <col min="7" max="7" width="12.85546875" style="837" customWidth="1"/>
    <col min="8" max="8" width="12.5703125" style="837" customWidth="1"/>
    <col min="9" max="9" width="12.42578125" style="837" customWidth="1"/>
    <col min="10" max="10" width="11" style="837" customWidth="1"/>
    <col min="11" max="11" width="10.42578125" style="837" customWidth="1"/>
    <col min="12" max="12" width="10" style="837" bestFit="1" customWidth="1"/>
    <col min="13" max="13" width="9.140625" style="837"/>
    <col min="14" max="14" width="10.28515625" style="837" bestFit="1" customWidth="1"/>
    <col min="15" max="16384" width="9.140625" style="837"/>
  </cols>
  <sheetData>
    <row r="1" spans="2:13" s="939" customFormat="1" ht="42.75" customHeight="1">
      <c r="B1" s="938"/>
      <c r="C1" s="938" t="s">
        <v>1934</v>
      </c>
      <c r="D1" s="938"/>
      <c r="E1" s="938"/>
      <c r="F1" s="938"/>
      <c r="G1" s="938"/>
      <c r="H1" s="938"/>
      <c r="I1" s="938"/>
    </row>
    <row r="2" spans="2:13" s="939" customFormat="1" ht="18.75" customHeight="1">
      <c r="B2" s="940"/>
      <c r="C2" s="941" t="s">
        <v>1278</v>
      </c>
      <c r="D2" s="942" t="s">
        <v>1924</v>
      </c>
      <c r="E2" s="943" t="s">
        <v>1895</v>
      </c>
      <c r="F2" s="940"/>
      <c r="G2" s="941" t="s">
        <v>1278</v>
      </c>
      <c r="H2" s="942" t="s">
        <v>1924</v>
      </c>
      <c r="I2" s="943" t="s">
        <v>1895</v>
      </c>
      <c r="J2" s="938"/>
      <c r="K2" s="938"/>
      <c r="L2" s="944"/>
      <c r="M2" s="944"/>
    </row>
    <row r="3" spans="2:13" s="939" customFormat="1" ht="18.75" customHeight="1">
      <c r="B3" s="945" t="s">
        <v>1898</v>
      </c>
      <c r="C3" s="938"/>
      <c r="D3" s="938"/>
      <c r="E3" s="946">
        <v>0.1225</v>
      </c>
      <c r="F3" s="945" t="s">
        <v>1898</v>
      </c>
      <c r="G3" s="938"/>
      <c r="H3" s="947">
        <v>1000000000</v>
      </c>
      <c r="I3" s="946">
        <v>0.1225</v>
      </c>
      <c r="J3" s="938"/>
      <c r="K3" s="938"/>
      <c r="L3" s="938"/>
      <c r="M3" s="948"/>
    </row>
    <row r="4" spans="2:13" s="939" customFormat="1" ht="18.75" customHeight="1">
      <c r="B4" s="949">
        <v>40644</v>
      </c>
      <c r="C4" s="938"/>
      <c r="D4" s="947">
        <v>0</v>
      </c>
      <c r="E4" s="950"/>
      <c r="F4" s="949">
        <v>41011</v>
      </c>
      <c r="G4" s="938"/>
      <c r="H4" s="947">
        <f>H3-G4</f>
        <v>1000000000</v>
      </c>
      <c r="I4" s="950">
        <v>10404110</v>
      </c>
      <c r="J4" s="951"/>
      <c r="K4" s="938"/>
      <c r="L4" s="947"/>
      <c r="M4" s="938"/>
    </row>
    <row r="5" spans="2:13" s="939" customFormat="1" ht="18.75" customHeight="1">
      <c r="B5" s="949">
        <v>40674</v>
      </c>
      <c r="C5" s="938"/>
      <c r="D5" s="947">
        <v>800000000</v>
      </c>
      <c r="E5" s="950">
        <f>ROUND((D4*0.0975/365*31),0)</f>
        <v>0</v>
      </c>
      <c r="F5" s="952" t="s">
        <v>1935</v>
      </c>
      <c r="G5" s="947">
        <v>1000000000</v>
      </c>
      <c r="H5" s="938">
        <v>0</v>
      </c>
      <c r="I5" s="950">
        <v>10068493</v>
      </c>
      <c r="J5" s="951"/>
      <c r="K5" s="938"/>
      <c r="L5" s="947"/>
      <c r="M5" s="938"/>
    </row>
    <row r="6" spans="2:13" s="954" customFormat="1" ht="18.75" customHeight="1">
      <c r="B6" s="949">
        <v>40705</v>
      </c>
      <c r="C6" s="953"/>
      <c r="D6" s="947">
        <v>1000000000</v>
      </c>
      <c r="E6" s="950">
        <v>6846575</v>
      </c>
      <c r="F6" s="949"/>
      <c r="G6" s="953"/>
      <c r="H6" s="947"/>
      <c r="I6" s="950"/>
      <c r="J6" s="951"/>
      <c r="K6" s="953"/>
      <c r="L6" s="947"/>
      <c r="M6" s="938"/>
    </row>
    <row r="7" spans="2:13" s="939" customFormat="1" ht="18.75" customHeight="1">
      <c r="B7" s="949">
        <v>40735</v>
      </c>
      <c r="C7" s="938"/>
      <c r="D7" s="947">
        <v>1000000000</v>
      </c>
      <c r="E7" s="950">
        <v>10068493</v>
      </c>
      <c r="F7" s="949"/>
      <c r="G7" s="938"/>
      <c r="H7" s="947"/>
      <c r="I7" s="950"/>
      <c r="J7" s="951"/>
      <c r="K7" s="953"/>
      <c r="L7" s="947"/>
      <c r="M7" s="938"/>
    </row>
    <row r="8" spans="2:13" s="939" customFormat="1" ht="18.75" customHeight="1">
      <c r="B8" s="949">
        <v>40766</v>
      </c>
      <c r="C8" s="938"/>
      <c r="D8" s="947">
        <v>1000000000</v>
      </c>
      <c r="E8" s="950">
        <v>10404110</v>
      </c>
      <c r="F8" s="949"/>
      <c r="G8" s="938"/>
      <c r="H8" s="947"/>
      <c r="I8" s="950"/>
      <c r="J8" s="951"/>
      <c r="K8" s="953"/>
      <c r="L8" s="947"/>
      <c r="M8" s="938"/>
    </row>
    <row r="9" spans="2:13" s="954" customFormat="1" ht="18.75" customHeight="1">
      <c r="B9" s="949">
        <v>40797</v>
      </c>
      <c r="C9" s="953"/>
      <c r="D9" s="947">
        <v>1000000000</v>
      </c>
      <c r="E9" s="950">
        <v>10404110</v>
      </c>
      <c r="F9" s="949"/>
      <c r="G9" s="953"/>
      <c r="H9" s="947"/>
      <c r="I9" s="950"/>
      <c r="J9" s="951"/>
      <c r="K9" s="953"/>
      <c r="L9" s="947"/>
      <c r="M9" s="938"/>
    </row>
    <row r="10" spans="2:13" s="939" customFormat="1" ht="18.75" customHeight="1">
      <c r="B10" s="949">
        <v>40827</v>
      </c>
      <c r="C10" s="938"/>
      <c r="D10" s="947">
        <v>1000000000</v>
      </c>
      <c r="E10" s="950">
        <v>10068493</v>
      </c>
      <c r="F10" s="949"/>
      <c r="G10" s="938"/>
      <c r="H10" s="947"/>
      <c r="I10" s="950"/>
      <c r="J10" s="951"/>
      <c r="K10" s="953"/>
      <c r="L10" s="947"/>
      <c r="M10" s="938"/>
    </row>
    <row r="11" spans="2:13" s="954" customFormat="1" ht="18.75" customHeight="1">
      <c r="B11" s="949">
        <v>40858</v>
      </c>
      <c r="C11" s="953"/>
      <c r="D11" s="947">
        <v>1000000000</v>
      </c>
      <c r="E11" s="950">
        <v>10404110</v>
      </c>
      <c r="F11" s="949"/>
      <c r="G11" s="953"/>
      <c r="H11" s="947"/>
      <c r="I11" s="950"/>
      <c r="J11" s="951"/>
      <c r="K11" s="953"/>
      <c r="L11" s="947"/>
      <c r="M11" s="938"/>
    </row>
    <row r="12" spans="2:13" s="939" customFormat="1" ht="18.75" customHeight="1">
      <c r="B12" s="949">
        <v>40888</v>
      </c>
      <c r="C12" s="938"/>
      <c r="D12" s="947">
        <v>1000000000</v>
      </c>
      <c r="E12" s="950">
        <v>10068493</v>
      </c>
      <c r="F12" s="949"/>
      <c r="G12" s="953"/>
      <c r="H12" s="947"/>
      <c r="I12" s="950"/>
      <c r="J12" s="951"/>
      <c r="K12" s="953"/>
      <c r="L12" s="947"/>
      <c r="M12" s="938"/>
    </row>
    <row r="13" spans="2:13" s="939" customFormat="1" ht="18.75" customHeight="1">
      <c r="B13" s="949">
        <v>40555</v>
      </c>
      <c r="C13" s="938"/>
      <c r="D13" s="947">
        <v>1000000000</v>
      </c>
      <c r="E13" s="950">
        <v>10404110</v>
      </c>
      <c r="F13" s="949"/>
      <c r="G13" s="938"/>
      <c r="H13" s="947"/>
      <c r="I13" s="950"/>
      <c r="J13" s="951"/>
      <c r="K13" s="953"/>
      <c r="L13" s="947"/>
      <c r="M13" s="938"/>
    </row>
    <row r="14" spans="2:13" s="954" customFormat="1" ht="18.75" customHeight="1">
      <c r="B14" s="949">
        <v>40586</v>
      </c>
      <c r="C14" s="953"/>
      <c r="D14" s="947">
        <v>1000000000</v>
      </c>
      <c r="E14" s="955">
        <v>9732877</v>
      </c>
      <c r="F14" s="949"/>
      <c r="G14" s="953"/>
      <c r="H14" s="947"/>
      <c r="I14" s="950"/>
      <c r="J14" s="951"/>
      <c r="K14" s="953"/>
      <c r="L14" s="947"/>
      <c r="M14" s="938"/>
    </row>
    <row r="15" spans="2:13" s="939" customFormat="1" ht="18.75" customHeight="1">
      <c r="B15" s="949">
        <v>40614</v>
      </c>
      <c r="C15" s="938"/>
      <c r="D15" s="947">
        <v>1000000000</v>
      </c>
      <c r="E15" s="950">
        <v>10404110</v>
      </c>
      <c r="F15" s="949"/>
      <c r="G15" s="953"/>
      <c r="H15" s="947"/>
      <c r="I15" s="950"/>
      <c r="J15" s="951"/>
      <c r="K15" s="953"/>
      <c r="L15" s="947"/>
      <c r="M15" s="938"/>
    </row>
    <row r="16" spans="2:13" s="954" customFormat="1" ht="18.75" customHeight="1">
      <c r="B16" s="956" t="s">
        <v>287</v>
      </c>
      <c r="C16" s="957">
        <f>SUM(C3:C15)</f>
        <v>0</v>
      </c>
      <c r="D16" s="957"/>
      <c r="E16" s="958">
        <f>SUM(E4:E15)</f>
        <v>98805481</v>
      </c>
      <c r="F16" s="956" t="s">
        <v>287</v>
      </c>
      <c r="G16" s="957">
        <f>SUM(G3:G15)</f>
        <v>1000000000</v>
      </c>
      <c r="H16" s="957"/>
      <c r="I16" s="958">
        <f>SUM(I4:I15)</f>
        <v>20472603</v>
      </c>
      <c r="J16" s="953"/>
      <c r="K16" s="953"/>
      <c r="L16" s="953"/>
      <c r="M16" s="953"/>
    </row>
    <row r="17" spans="2:13" ht="15.75" customHeight="1">
      <c r="B17" s="843" t="s">
        <v>1936</v>
      </c>
      <c r="C17" s="838"/>
      <c r="D17" s="959" t="s">
        <v>1937</v>
      </c>
      <c r="E17" s="938">
        <f>ROUND((D15*0.1225/366*17),0)</f>
        <v>5689891</v>
      </c>
      <c r="F17" s="838"/>
      <c r="G17" s="838"/>
      <c r="H17" s="959" t="s">
        <v>1938</v>
      </c>
      <c r="I17" s="938">
        <v>5689891</v>
      </c>
    </row>
    <row r="18" spans="2:13" ht="14.25">
      <c r="B18" s="838"/>
      <c r="C18" s="843"/>
      <c r="D18" s="959" t="s">
        <v>287</v>
      </c>
      <c r="E18" s="960">
        <f>SUM(E16:E17)</f>
        <v>104495372</v>
      </c>
      <c r="F18" s="838"/>
      <c r="G18" s="843"/>
      <c r="H18" s="844" t="s">
        <v>287</v>
      </c>
      <c r="I18" s="961">
        <f>I16-I17</f>
        <v>14782712</v>
      </c>
      <c r="K18" s="843"/>
      <c r="L18" s="839"/>
      <c r="M18" s="844"/>
    </row>
    <row r="19" spans="2:13" ht="14.25">
      <c r="B19" s="843"/>
      <c r="C19" s="838"/>
      <c r="D19" s="838"/>
      <c r="E19" s="850"/>
      <c r="F19" s="843"/>
      <c r="G19" s="838"/>
      <c r="H19" s="838"/>
      <c r="I19" s="948"/>
      <c r="J19" s="877"/>
      <c r="K19" s="838"/>
      <c r="L19" s="838"/>
      <c r="M19" s="850"/>
    </row>
    <row r="20" spans="2:13">
      <c r="B20" s="877"/>
      <c r="C20" s="838"/>
      <c r="D20" s="847"/>
      <c r="E20" s="843"/>
      <c r="F20" s="877"/>
      <c r="G20" s="838"/>
      <c r="H20" s="847"/>
      <c r="I20" s="843"/>
      <c r="J20" s="877"/>
      <c r="K20" s="838"/>
      <c r="L20" s="847"/>
      <c r="M20" s="843"/>
    </row>
    <row r="21" spans="2:13">
      <c r="B21" s="877"/>
      <c r="C21" s="838"/>
      <c r="D21" s="847"/>
      <c r="E21" s="843"/>
      <c r="F21" s="877"/>
      <c r="G21" s="838"/>
      <c r="H21" s="847"/>
      <c r="I21" s="843"/>
      <c r="J21" s="877"/>
      <c r="K21" s="838"/>
      <c r="L21" s="847"/>
      <c r="M21" s="843"/>
    </row>
    <row r="22" spans="2:13">
      <c r="B22" s="877"/>
      <c r="C22" s="866"/>
      <c r="D22" s="847"/>
      <c r="E22" s="843"/>
      <c r="F22" s="877"/>
      <c r="G22" s="866"/>
      <c r="H22" s="847"/>
      <c r="I22" s="843"/>
      <c r="J22" s="877"/>
      <c r="K22" s="866"/>
      <c r="L22" s="847"/>
      <c r="M22" s="843"/>
    </row>
    <row r="23" spans="2:13">
      <c r="B23" s="877"/>
      <c r="C23" s="838"/>
      <c r="D23" s="847"/>
      <c r="E23" s="843"/>
      <c r="F23" s="877"/>
      <c r="G23" s="838"/>
      <c r="H23" s="847"/>
      <c r="I23" s="843"/>
      <c r="J23" s="877"/>
      <c r="K23" s="838"/>
      <c r="L23" s="847"/>
      <c r="M23" s="843"/>
    </row>
    <row r="24" spans="2:13">
      <c r="B24" s="877"/>
      <c r="C24" s="843"/>
      <c r="D24" s="847"/>
      <c r="E24" s="843"/>
      <c r="F24" s="877"/>
      <c r="G24" s="843"/>
      <c r="H24" s="847"/>
      <c r="I24" s="843"/>
      <c r="J24" s="877"/>
      <c r="K24" s="843"/>
      <c r="L24" s="847"/>
      <c r="M24" s="843"/>
    </row>
    <row r="25" spans="2:13">
      <c r="B25" s="877"/>
      <c r="C25" s="866"/>
      <c r="D25" s="847"/>
      <c r="E25" s="843"/>
      <c r="F25" s="877"/>
      <c r="G25" s="866"/>
      <c r="H25" s="847"/>
      <c r="I25" s="843"/>
      <c r="J25" s="962"/>
      <c r="K25" s="866"/>
      <c r="L25" s="847"/>
      <c r="M25" s="843"/>
    </row>
    <row r="26" spans="2:13">
      <c r="B26" s="877"/>
      <c r="C26" s="838"/>
      <c r="D26" s="847"/>
      <c r="E26" s="843"/>
      <c r="F26" s="877"/>
      <c r="G26" s="838"/>
      <c r="H26" s="847"/>
      <c r="I26" s="843"/>
      <c r="J26" s="877"/>
      <c r="K26" s="838"/>
      <c r="L26" s="847"/>
      <c r="M26" s="843"/>
    </row>
    <row r="27" spans="2:13">
      <c r="B27" s="877"/>
      <c r="C27" s="866"/>
      <c r="D27" s="847"/>
      <c r="E27" s="843"/>
      <c r="F27" s="877"/>
      <c r="G27" s="866"/>
      <c r="H27" s="847"/>
      <c r="I27" s="843"/>
      <c r="J27" s="877"/>
      <c r="K27" s="866"/>
      <c r="L27" s="847"/>
      <c r="M27" s="843"/>
    </row>
    <row r="28" spans="2:13">
      <c r="B28" s="877"/>
      <c r="C28" s="866"/>
      <c r="D28" s="847"/>
      <c r="E28" s="843"/>
      <c r="F28" s="877"/>
      <c r="G28" s="866"/>
      <c r="H28" s="847"/>
      <c r="I28" s="843"/>
      <c r="J28" s="877"/>
      <c r="K28" s="866"/>
      <c r="L28" s="847"/>
      <c r="M28" s="843"/>
    </row>
    <row r="29" spans="2:13">
      <c r="B29" s="877"/>
      <c r="C29" s="838"/>
      <c r="D29" s="847"/>
      <c r="E29" s="843"/>
      <c r="F29" s="877"/>
      <c r="G29" s="838"/>
      <c r="H29" s="847"/>
      <c r="I29" s="843"/>
      <c r="J29" s="877"/>
      <c r="K29" s="838"/>
      <c r="L29" s="847"/>
      <c r="M29" s="843"/>
    </row>
    <row r="30" spans="2:13">
      <c r="B30" s="877"/>
      <c r="C30" s="866"/>
      <c r="D30" s="847"/>
      <c r="E30" s="843"/>
      <c r="F30" s="877"/>
      <c r="G30" s="866"/>
      <c r="H30" s="847"/>
      <c r="I30" s="843"/>
      <c r="J30" s="877"/>
      <c r="K30" s="866"/>
      <c r="L30" s="847"/>
      <c r="M30" s="843"/>
    </row>
    <row r="31" spans="2:13">
      <c r="B31" s="877"/>
      <c r="C31" s="866"/>
      <c r="D31" s="847"/>
      <c r="E31" s="843"/>
      <c r="F31" s="877"/>
      <c r="G31" s="866"/>
      <c r="H31" s="847"/>
      <c r="I31" s="843"/>
      <c r="K31" s="866"/>
      <c r="L31" s="847"/>
      <c r="M31" s="843"/>
    </row>
    <row r="32" spans="2:13">
      <c r="B32" s="866"/>
      <c r="C32" s="866"/>
      <c r="D32" s="866"/>
      <c r="E32" s="866"/>
      <c r="F32" s="866"/>
      <c r="G32" s="866"/>
      <c r="H32" s="866"/>
      <c r="I32" s="866"/>
      <c r="K32" s="866"/>
      <c r="L32" s="866"/>
      <c r="M32" s="866"/>
    </row>
    <row r="33" spans="2:9" ht="17.25" customHeight="1">
      <c r="B33" s="838"/>
      <c r="C33" s="838"/>
      <c r="D33" s="875"/>
      <c r="E33" s="875"/>
      <c r="F33" s="866"/>
      <c r="G33" s="866"/>
      <c r="H33" s="875"/>
      <c r="I33" s="875"/>
    </row>
    <row r="34" spans="2:9">
      <c r="F34" s="843"/>
      <c r="G34" s="843"/>
      <c r="H34" s="844"/>
      <c r="I34" s="844"/>
    </row>
    <row r="35" spans="2:9">
      <c r="F35" s="838"/>
      <c r="G35" s="838"/>
      <c r="H35" s="838"/>
      <c r="I35" s="851"/>
    </row>
    <row r="36" spans="2:9">
      <c r="F36" s="838"/>
      <c r="G36" s="838"/>
      <c r="H36" s="847"/>
      <c r="I36" s="847"/>
    </row>
    <row r="37" spans="2:9">
      <c r="F37" s="838"/>
      <c r="G37" s="838"/>
      <c r="H37" s="847"/>
      <c r="I37" s="847"/>
    </row>
    <row r="38" spans="2:9">
      <c r="F38" s="838"/>
      <c r="G38" s="838"/>
      <c r="H38" s="847"/>
      <c r="I38" s="847"/>
    </row>
    <row r="39" spans="2:9">
      <c r="F39" s="838"/>
      <c r="G39" s="838"/>
      <c r="H39" s="847"/>
      <c r="I39" s="847"/>
    </row>
    <row r="40" spans="2:9">
      <c r="F40" s="838"/>
      <c r="G40" s="838"/>
      <c r="H40" s="847"/>
      <c r="I40" s="847"/>
    </row>
    <row r="41" spans="2:9">
      <c r="F41" s="838"/>
      <c r="G41" s="838"/>
      <c r="H41" s="847"/>
      <c r="I41" s="847"/>
    </row>
    <row r="42" spans="2:9">
      <c r="F42" s="838"/>
      <c r="G42" s="838"/>
      <c r="H42" s="847"/>
      <c r="I42" s="847"/>
    </row>
    <row r="43" spans="2:9">
      <c r="F43" s="838"/>
      <c r="G43" s="838"/>
      <c r="H43" s="847"/>
      <c r="I43" s="847"/>
    </row>
    <row r="44" spans="2:9">
      <c r="F44" s="838"/>
      <c r="G44" s="838"/>
      <c r="H44" s="847"/>
      <c r="I44" s="847"/>
    </row>
    <row r="45" spans="2:9">
      <c r="F45" s="838"/>
      <c r="G45" s="838"/>
      <c r="H45" s="847"/>
      <c r="I45" s="847"/>
    </row>
    <row r="46" spans="2:9">
      <c r="F46" s="838"/>
      <c r="G46" s="838"/>
      <c r="H46" s="847"/>
      <c r="I46" s="847"/>
    </row>
    <row r="47" spans="2:9">
      <c r="F47" s="838"/>
      <c r="G47" s="838"/>
      <c r="H47" s="847"/>
      <c r="I47" s="847"/>
    </row>
    <row r="48" spans="2:9">
      <c r="F48" s="866"/>
      <c r="G48" s="866"/>
      <c r="H48" s="866"/>
      <c r="I48" s="866"/>
    </row>
    <row r="49" spans="6:9" ht="21" customHeight="1"/>
    <row r="50" spans="6:9">
      <c r="F50" s="843"/>
      <c r="G50" s="843"/>
      <c r="H50" s="844"/>
      <c r="I50" s="844"/>
    </row>
    <row r="51" spans="6:9">
      <c r="F51" s="838"/>
      <c r="G51" s="838"/>
      <c r="H51" s="838"/>
      <c r="I51" s="851"/>
    </row>
    <row r="52" spans="6:9">
      <c r="F52" s="838"/>
      <c r="G52" s="838"/>
      <c r="H52" s="847"/>
      <c r="I52" s="847"/>
    </row>
    <row r="53" spans="6:9">
      <c r="F53" s="838"/>
      <c r="G53" s="838"/>
      <c r="H53" s="847"/>
      <c r="I53" s="847"/>
    </row>
    <row r="54" spans="6:9">
      <c r="F54" s="838"/>
      <c r="G54" s="838"/>
      <c r="H54" s="847"/>
      <c r="I54" s="847"/>
    </row>
    <row r="55" spans="6:9">
      <c r="F55" s="838"/>
      <c r="G55" s="838"/>
      <c r="H55" s="847"/>
      <c r="I55" s="847"/>
    </row>
    <row r="56" spans="6:9">
      <c r="F56" s="838"/>
      <c r="G56" s="838"/>
      <c r="H56" s="847"/>
      <c r="I56" s="847"/>
    </row>
    <row r="57" spans="6:9">
      <c r="F57" s="838"/>
      <c r="G57" s="838"/>
      <c r="H57" s="847"/>
      <c r="I57" s="847"/>
    </row>
    <row r="58" spans="6:9">
      <c r="F58" s="838"/>
      <c r="G58" s="838"/>
      <c r="H58" s="847"/>
      <c r="I58" s="847"/>
    </row>
    <row r="59" spans="6:9">
      <c r="F59" s="838"/>
      <c r="G59" s="838"/>
      <c r="H59" s="847"/>
      <c r="I59" s="847"/>
    </row>
    <row r="60" spans="6:9">
      <c r="F60" s="838"/>
      <c r="G60" s="838"/>
      <c r="H60" s="847"/>
      <c r="I60" s="847"/>
    </row>
    <row r="61" spans="6:9">
      <c r="F61" s="838"/>
      <c r="G61" s="838"/>
      <c r="H61" s="847"/>
      <c r="I61" s="847"/>
    </row>
    <row r="62" spans="6:9">
      <c r="F62" s="838"/>
      <c r="G62" s="838"/>
      <c r="H62" s="847"/>
      <c r="I62" s="847"/>
    </row>
    <row r="63" spans="6:9">
      <c r="F63" s="838"/>
      <c r="G63" s="838"/>
      <c r="H63" s="847"/>
      <c r="I63" s="847"/>
    </row>
    <row r="64" spans="6:9">
      <c r="F64" s="866"/>
      <c r="G64" s="866"/>
      <c r="H64" s="866"/>
      <c r="I64" s="866"/>
    </row>
    <row r="65" spans="2:9" ht="18.75" customHeight="1"/>
    <row r="66" spans="2:9">
      <c r="B66" s="838"/>
      <c r="C66" s="843" t="s">
        <v>1278</v>
      </c>
      <c r="D66" s="839">
        <v>2</v>
      </c>
      <c r="E66" s="844" t="s">
        <v>1895</v>
      </c>
      <c r="F66" s="843"/>
      <c r="G66" s="843"/>
      <c r="H66" s="844"/>
      <c r="I66" s="844"/>
    </row>
    <row r="67" spans="2:9">
      <c r="B67" s="843" t="s">
        <v>1898</v>
      </c>
      <c r="C67" s="838"/>
      <c r="D67" s="838">
        <v>284000000</v>
      </c>
      <c r="E67" s="850">
        <v>9.7500000000000003E-2</v>
      </c>
      <c r="F67" s="838"/>
      <c r="G67" s="838"/>
      <c r="H67" s="838"/>
      <c r="I67" s="851"/>
    </row>
    <row r="68" spans="2:9">
      <c r="B68" s="877">
        <v>42107</v>
      </c>
      <c r="C68" s="838">
        <v>35800000</v>
      </c>
      <c r="D68" s="847">
        <f t="shared" ref="D68:D79" si="0">D67-C68</f>
        <v>248200000</v>
      </c>
      <c r="E68" s="843">
        <f>ROUND((D67*0.0975/365*11)+(D68*0.0975/365*19),0)</f>
        <v>2094193</v>
      </c>
      <c r="F68" s="838"/>
      <c r="G68" s="838"/>
      <c r="H68" s="847"/>
      <c r="I68" s="847"/>
    </row>
    <row r="69" spans="2:9">
      <c r="B69" s="877">
        <v>42137</v>
      </c>
      <c r="C69" s="838"/>
      <c r="D69" s="847">
        <f t="shared" si="0"/>
        <v>248200000</v>
      </c>
      <c r="E69" s="843">
        <f>ROUND((D68*0.0975/365*31),0)</f>
        <v>2055300</v>
      </c>
      <c r="F69" s="838"/>
      <c r="G69" s="838"/>
      <c r="H69" s="847"/>
      <c r="I69" s="847"/>
    </row>
    <row r="70" spans="2:9">
      <c r="B70" s="877">
        <v>42168</v>
      </c>
      <c r="C70" s="866"/>
      <c r="D70" s="847">
        <f t="shared" si="0"/>
        <v>248200000</v>
      </c>
      <c r="E70" s="843">
        <f>ROUND((D69*0.0975/365*30),0)</f>
        <v>1989000</v>
      </c>
      <c r="F70" s="838"/>
      <c r="G70" s="838"/>
      <c r="H70" s="847"/>
      <c r="I70" s="847"/>
    </row>
    <row r="71" spans="2:9">
      <c r="B71" s="877">
        <v>42198</v>
      </c>
      <c r="C71" s="838">
        <v>35800000</v>
      </c>
      <c r="D71" s="847">
        <f t="shared" si="0"/>
        <v>212400000</v>
      </c>
      <c r="E71" s="843">
        <f>ROUND((D70*0.0975/365*11)+(D71*0.0975/365*20),0)</f>
        <v>1864040</v>
      </c>
      <c r="F71" s="838"/>
      <c r="G71" s="838"/>
      <c r="H71" s="847"/>
      <c r="I71" s="847"/>
    </row>
    <row r="72" spans="2:9">
      <c r="B72" s="877">
        <v>42229</v>
      </c>
      <c r="C72" s="843"/>
      <c r="D72" s="847">
        <f t="shared" si="0"/>
        <v>212400000</v>
      </c>
      <c r="E72" s="843">
        <f>ROUND((D71*0.0975/365*31),0)</f>
        <v>1758847</v>
      </c>
      <c r="F72" s="838"/>
      <c r="G72" s="838"/>
      <c r="H72" s="847"/>
      <c r="I72" s="847"/>
    </row>
    <row r="73" spans="2:9">
      <c r="B73" s="877">
        <v>42260</v>
      </c>
      <c r="C73" s="866"/>
      <c r="D73" s="847">
        <f t="shared" si="0"/>
        <v>212400000</v>
      </c>
      <c r="E73" s="843">
        <f>ROUND((D72*0.0975/365*30),0)</f>
        <v>1702110</v>
      </c>
      <c r="F73" s="838"/>
      <c r="G73" s="838"/>
      <c r="H73" s="847"/>
      <c r="I73" s="847"/>
    </row>
    <row r="74" spans="2:9">
      <c r="B74" s="877">
        <v>42290</v>
      </c>
      <c r="C74" s="838">
        <v>35800000</v>
      </c>
      <c r="D74" s="847">
        <f t="shared" si="0"/>
        <v>176600000</v>
      </c>
      <c r="E74" s="843">
        <f>ROUND((D73*0.0975/365*11)+(D74*0.0975/365*20),0)</f>
        <v>1567586</v>
      </c>
      <c r="F74" s="838"/>
      <c r="G74" s="838"/>
      <c r="H74" s="847"/>
      <c r="I74" s="847"/>
    </row>
    <row r="75" spans="2:9">
      <c r="B75" s="877">
        <v>42321</v>
      </c>
      <c r="C75" s="866"/>
      <c r="D75" s="847">
        <f t="shared" si="0"/>
        <v>176600000</v>
      </c>
      <c r="E75" s="843">
        <f>ROUND((D74*0.0975/365*30),0)</f>
        <v>1415219</v>
      </c>
      <c r="F75" s="838"/>
      <c r="G75" s="838"/>
      <c r="H75" s="847"/>
      <c r="I75" s="847"/>
    </row>
    <row r="76" spans="2:9">
      <c r="B76" s="877">
        <v>42351</v>
      </c>
      <c r="C76" s="843"/>
      <c r="D76" s="847">
        <f t="shared" si="0"/>
        <v>176600000</v>
      </c>
      <c r="E76" s="843">
        <f>ROUND((D75*0.0975/365*31),0)</f>
        <v>1462393</v>
      </c>
      <c r="F76" s="838"/>
      <c r="G76" s="838"/>
      <c r="H76" s="847"/>
      <c r="I76" s="847"/>
    </row>
    <row r="77" spans="2:9">
      <c r="B77" s="877">
        <v>42382</v>
      </c>
      <c r="C77" s="838">
        <v>35800000</v>
      </c>
      <c r="D77" s="847">
        <f t="shared" si="0"/>
        <v>140800000</v>
      </c>
      <c r="E77" s="843">
        <f>ROUND((D76*0.0975/365*12)+(D77*0.0975/365*19),0)</f>
        <v>1280696</v>
      </c>
      <c r="F77" s="838"/>
      <c r="G77" s="838"/>
      <c r="H77" s="847"/>
      <c r="I77" s="847"/>
    </row>
    <row r="78" spans="2:9">
      <c r="B78" s="877">
        <v>42413</v>
      </c>
      <c r="C78" s="866"/>
      <c r="D78" s="847">
        <f t="shared" si="0"/>
        <v>140800000</v>
      </c>
      <c r="E78" s="843">
        <f>ROUND((D77*0.0975/366*29),0)</f>
        <v>1087738</v>
      </c>
      <c r="F78" s="838"/>
      <c r="G78" s="838"/>
      <c r="H78" s="847"/>
      <c r="I78" s="847"/>
    </row>
    <row r="79" spans="2:9">
      <c r="B79" s="877">
        <v>42442</v>
      </c>
      <c r="C79" s="838"/>
      <c r="D79" s="847">
        <f t="shared" si="0"/>
        <v>140800000</v>
      </c>
      <c r="E79" s="843">
        <f>ROUND((D78*0.0975/366*31),0)</f>
        <v>1162754</v>
      </c>
      <c r="F79" s="838"/>
      <c r="G79" s="838"/>
      <c r="H79" s="847"/>
      <c r="I79" s="847"/>
    </row>
    <row r="80" spans="2:9">
      <c r="B80" s="866" t="s">
        <v>287</v>
      </c>
      <c r="C80" s="866">
        <f>SUM(C67:C79)</f>
        <v>143200000</v>
      </c>
      <c r="D80" s="866"/>
      <c r="E80" s="866">
        <f>SUM(E68:E79)</f>
        <v>19439876</v>
      </c>
      <c r="F80" s="866"/>
      <c r="G80" s="866"/>
      <c r="H80" s="866"/>
      <c r="I80" s="866"/>
    </row>
    <row r="81" spans="2:9" ht="18" customHeight="1"/>
    <row r="82" spans="2:9">
      <c r="B82" s="838"/>
      <c r="C82" s="843" t="s">
        <v>1278</v>
      </c>
      <c r="D82" s="839">
        <v>2</v>
      </c>
      <c r="E82" s="844" t="s">
        <v>1895</v>
      </c>
      <c r="F82" s="843"/>
      <c r="G82" s="843"/>
      <c r="H82" s="844"/>
      <c r="I82" s="844"/>
    </row>
    <row r="83" spans="2:9">
      <c r="B83" s="843" t="s">
        <v>1898</v>
      </c>
      <c r="C83" s="838"/>
      <c r="D83" s="838">
        <v>140800000</v>
      </c>
      <c r="E83" s="850">
        <v>9.7500000000000003E-2</v>
      </c>
      <c r="F83" s="838"/>
      <c r="G83" s="838"/>
      <c r="H83" s="838"/>
      <c r="I83" s="851"/>
    </row>
    <row r="84" spans="2:9">
      <c r="C84" s="838">
        <v>35800000</v>
      </c>
      <c r="D84" s="847">
        <f t="shared" ref="D84:D95" si="1">D83-C84</f>
        <v>105000000</v>
      </c>
      <c r="E84" s="843">
        <f>ROUND((D83*0.0975/365*11)+(D84*0.0975/365*19),0)</f>
        <v>946632</v>
      </c>
      <c r="F84" s="838"/>
      <c r="G84" s="838"/>
      <c r="H84" s="847"/>
      <c r="I84" s="847"/>
    </row>
    <row r="85" spans="2:9">
      <c r="C85" s="838"/>
      <c r="D85" s="847">
        <f t="shared" si="1"/>
        <v>105000000</v>
      </c>
      <c r="E85" s="843">
        <f>ROUND((D84*0.0975/365*31),0)</f>
        <v>869486</v>
      </c>
      <c r="F85" s="838"/>
      <c r="G85" s="838"/>
      <c r="H85" s="847"/>
      <c r="I85" s="847"/>
    </row>
    <row r="86" spans="2:9">
      <c r="C86" s="866"/>
      <c r="D86" s="847">
        <f t="shared" si="1"/>
        <v>105000000</v>
      </c>
      <c r="E86" s="843">
        <f>ROUND((D85*0.0975/365*30),0)</f>
        <v>841438</v>
      </c>
      <c r="F86" s="838"/>
      <c r="G86" s="838"/>
      <c r="H86" s="847"/>
      <c r="I86" s="847"/>
    </row>
    <row r="87" spans="2:9">
      <c r="C87" s="838">
        <v>35800000</v>
      </c>
      <c r="D87" s="847">
        <f t="shared" si="1"/>
        <v>69200000</v>
      </c>
      <c r="E87" s="843">
        <f>ROUND((D86*0.0975/365*11)+(D87*0.0975/365*20),0)</f>
        <v>678226</v>
      </c>
      <c r="F87" s="838"/>
      <c r="G87" s="838"/>
      <c r="H87" s="847"/>
      <c r="I87" s="847"/>
    </row>
    <row r="88" spans="2:9">
      <c r="C88" s="843"/>
      <c r="D88" s="847">
        <f t="shared" si="1"/>
        <v>69200000</v>
      </c>
      <c r="E88" s="843">
        <f>ROUND((D87*0.0975/365*31),0)</f>
        <v>573033</v>
      </c>
      <c r="F88" s="838"/>
      <c r="G88" s="838"/>
      <c r="H88" s="847"/>
      <c r="I88" s="847"/>
    </row>
    <row r="89" spans="2:9">
      <c r="C89" s="866"/>
      <c r="D89" s="847">
        <f t="shared" si="1"/>
        <v>69200000</v>
      </c>
      <c r="E89" s="843">
        <f>ROUND((D88*0.0975/365*30),0)</f>
        <v>554548</v>
      </c>
      <c r="F89" s="838"/>
      <c r="G89" s="838"/>
      <c r="H89" s="847"/>
      <c r="I89" s="847"/>
    </row>
    <row r="90" spans="2:9">
      <c r="C90" s="838">
        <v>35800000</v>
      </c>
      <c r="D90" s="847">
        <f t="shared" si="1"/>
        <v>33400000</v>
      </c>
      <c r="E90" s="843">
        <f>ROUND((D89*0.0975/365*11)+(D90*0.0975/365*20),0)</f>
        <v>381773</v>
      </c>
      <c r="F90" s="838"/>
      <c r="G90" s="838"/>
      <c r="H90" s="847"/>
      <c r="I90" s="847"/>
    </row>
    <row r="91" spans="2:9">
      <c r="C91" s="866"/>
      <c r="D91" s="847">
        <f t="shared" si="1"/>
        <v>33400000</v>
      </c>
      <c r="E91" s="843">
        <f>ROUND((D90*0.0975/365*30),0)</f>
        <v>267658</v>
      </c>
      <c r="F91" s="838"/>
      <c r="G91" s="838"/>
      <c r="H91" s="847"/>
      <c r="I91" s="847"/>
    </row>
    <row r="92" spans="2:9">
      <c r="C92" s="843"/>
      <c r="D92" s="847">
        <f t="shared" si="1"/>
        <v>33400000</v>
      </c>
      <c r="E92" s="843">
        <f>ROUND((D91*0.0975/365*31),0)</f>
        <v>276579</v>
      </c>
      <c r="F92" s="838"/>
      <c r="G92" s="838"/>
      <c r="H92" s="847"/>
      <c r="I92" s="847"/>
    </row>
    <row r="93" spans="2:9">
      <c r="C93" s="838">
        <v>33400000</v>
      </c>
      <c r="D93" s="847">
        <f t="shared" si="1"/>
        <v>0</v>
      </c>
      <c r="E93" s="843">
        <f>ROUND((D92*0.0975/365*12),0)</f>
        <v>107063</v>
      </c>
      <c r="F93" s="838"/>
      <c r="G93" s="838"/>
      <c r="H93" s="847"/>
      <c r="I93" s="847"/>
    </row>
    <row r="94" spans="2:9">
      <c r="C94" s="866"/>
      <c r="D94" s="847">
        <f t="shared" si="1"/>
        <v>0</v>
      </c>
      <c r="E94" s="843">
        <f>ROUND((D93*0.0975/366*29),0)</f>
        <v>0</v>
      </c>
      <c r="F94" s="838"/>
      <c r="G94" s="838"/>
      <c r="H94" s="847"/>
      <c r="I94" s="847"/>
    </row>
    <row r="95" spans="2:9">
      <c r="C95" s="838"/>
      <c r="D95" s="847">
        <f t="shared" si="1"/>
        <v>0</v>
      </c>
      <c r="E95" s="843">
        <f>ROUND((D94*0.0975/366*31),0)</f>
        <v>0</v>
      </c>
      <c r="F95" s="838"/>
      <c r="G95" s="838"/>
      <c r="H95" s="847"/>
      <c r="I95" s="847"/>
    </row>
    <row r="96" spans="2:9">
      <c r="B96" s="866" t="s">
        <v>287</v>
      </c>
      <c r="C96" s="866">
        <f>SUM(C83:C95)</f>
        <v>140800000</v>
      </c>
      <c r="D96" s="866"/>
      <c r="E96" s="866">
        <f>SUM(E84:E95)</f>
        <v>5496436</v>
      </c>
      <c r="F96" s="866"/>
      <c r="G96" s="866"/>
      <c r="H96" s="866"/>
      <c r="I96" s="866"/>
    </row>
    <row r="97" spans="2:9" ht="18.75" customHeight="1"/>
    <row r="98" spans="2:9">
      <c r="B98" s="838"/>
      <c r="C98" s="881" t="s">
        <v>1278</v>
      </c>
      <c r="D98" s="882">
        <v>2</v>
      </c>
      <c r="E98" s="882" t="s">
        <v>1895</v>
      </c>
      <c r="F98" s="843"/>
      <c r="G98" s="843"/>
      <c r="H98" s="844"/>
      <c r="I98" s="844"/>
    </row>
    <row r="99" spans="2:9">
      <c r="B99" s="843" t="s">
        <v>1898</v>
      </c>
      <c r="C99" s="881"/>
      <c r="D99" s="881">
        <v>0</v>
      </c>
      <c r="E99" s="887">
        <v>0</v>
      </c>
      <c r="F99" s="838"/>
      <c r="G99" s="838"/>
      <c r="H99" s="838"/>
      <c r="I99" s="851"/>
    </row>
    <row r="100" spans="2:9">
      <c r="B100" s="877">
        <v>42838</v>
      </c>
      <c r="C100" s="881">
        <v>0</v>
      </c>
      <c r="D100" s="879">
        <f t="shared" ref="D100:D111" si="2">D99-C100</f>
        <v>0</v>
      </c>
      <c r="E100" s="881">
        <f>ROUND((D99*0.0975/365*11)+(D100*0.0975/365*19),0)</f>
        <v>0</v>
      </c>
      <c r="F100" s="838"/>
      <c r="G100" s="838"/>
      <c r="H100" s="847"/>
      <c r="I100" s="847"/>
    </row>
    <row r="101" spans="2:9">
      <c r="B101" s="877">
        <v>42868</v>
      </c>
      <c r="C101" s="881"/>
      <c r="D101" s="879">
        <f t="shared" si="2"/>
        <v>0</v>
      </c>
      <c r="E101" s="881">
        <f>ROUND((D100*0.0975/365*31),0)</f>
        <v>0</v>
      </c>
      <c r="F101" s="838"/>
      <c r="G101" s="838"/>
      <c r="H101" s="847"/>
      <c r="I101" s="847"/>
    </row>
    <row r="102" spans="2:9">
      <c r="B102" s="877">
        <v>42899</v>
      </c>
      <c r="C102" s="886"/>
      <c r="D102" s="879">
        <f t="shared" si="2"/>
        <v>0</v>
      </c>
      <c r="E102" s="881">
        <f>ROUND((D101*0.0975/365*30),0)</f>
        <v>0</v>
      </c>
      <c r="F102" s="838"/>
      <c r="G102" s="838"/>
      <c r="H102" s="847"/>
      <c r="I102" s="847"/>
    </row>
    <row r="103" spans="2:9">
      <c r="B103" s="877">
        <v>42929</v>
      </c>
      <c r="C103" s="881">
        <v>0</v>
      </c>
      <c r="D103" s="879">
        <f t="shared" si="2"/>
        <v>0</v>
      </c>
      <c r="E103" s="881">
        <f>ROUND((D102*0.0975/365*11)+(D103*0.0975/365*20),0)</f>
        <v>0</v>
      </c>
      <c r="F103" s="838"/>
      <c r="G103" s="838"/>
      <c r="H103" s="847"/>
      <c r="I103" s="847"/>
    </row>
    <row r="104" spans="2:9">
      <c r="B104" s="877">
        <v>42960</v>
      </c>
      <c r="C104" s="881"/>
      <c r="D104" s="879">
        <f t="shared" si="2"/>
        <v>0</v>
      </c>
      <c r="E104" s="881">
        <f>ROUND((D103*0.0975/365*31),0)</f>
        <v>0</v>
      </c>
      <c r="F104" s="838"/>
      <c r="G104" s="838"/>
      <c r="H104" s="847"/>
      <c r="I104" s="847"/>
    </row>
    <row r="105" spans="2:9">
      <c r="B105" s="877">
        <v>42991</v>
      </c>
      <c r="C105" s="886"/>
      <c r="D105" s="879">
        <f t="shared" si="2"/>
        <v>0</v>
      </c>
      <c r="E105" s="881">
        <f>ROUND((D104*0.0975/365*30),0)</f>
        <v>0</v>
      </c>
      <c r="F105" s="838"/>
      <c r="G105" s="838"/>
      <c r="H105" s="847"/>
      <c r="I105" s="847"/>
    </row>
    <row r="106" spans="2:9">
      <c r="B106" s="877">
        <v>43021</v>
      </c>
      <c r="C106" s="881">
        <v>0</v>
      </c>
      <c r="D106" s="879">
        <f t="shared" si="2"/>
        <v>0</v>
      </c>
      <c r="E106" s="881">
        <f>ROUND((D105*0.0975/365*11)+(D106*0.0975/365*20),0)</f>
        <v>0</v>
      </c>
      <c r="F106" s="838"/>
      <c r="G106" s="838"/>
      <c r="H106" s="847"/>
      <c r="I106" s="847"/>
    </row>
    <row r="107" spans="2:9">
      <c r="B107" s="877">
        <v>43052</v>
      </c>
      <c r="C107" s="886"/>
      <c r="D107" s="879">
        <f t="shared" si="2"/>
        <v>0</v>
      </c>
      <c r="E107" s="881">
        <f>ROUND((D106*0.0975/365*30),0)</f>
        <v>0</v>
      </c>
      <c r="F107" s="838"/>
      <c r="G107" s="838"/>
      <c r="H107" s="847"/>
      <c r="I107" s="847"/>
    </row>
    <row r="108" spans="2:9">
      <c r="B108" s="877">
        <v>43082</v>
      </c>
      <c r="C108" s="881"/>
      <c r="D108" s="879">
        <f t="shared" si="2"/>
        <v>0</v>
      </c>
      <c r="E108" s="881">
        <f>ROUND((D107*0.0975/365*31),0)</f>
        <v>0</v>
      </c>
      <c r="F108" s="838"/>
      <c r="G108" s="838"/>
      <c r="H108" s="847"/>
      <c r="I108" s="847"/>
    </row>
    <row r="109" spans="2:9">
      <c r="B109" s="877">
        <v>43113</v>
      </c>
      <c r="C109" s="881">
        <v>0</v>
      </c>
      <c r="D109" s="879">
        <f t="shared" si="2"/>
        <v>0</v>
      </c>
      <c r="E109" s="881">
        <f>ROUND((D108*0.0975/365*12),0)</f>
        <v>0</v>
      </c>
      <c r="F109" s="838"/>
      <c r="G109" s="838"/>
      <c r="H109" s="847"/>
      <c r="I109" s="847"/>
    </row>
    <row r="110" spans="2:9" s="892" customFormat="1" ht="12.75" customHeight="1">
      <c r="B110" s="888"/>
      <c r="C110" s="886"/>
      <c r="D110" s="879">
        <f t="shared" si="2"/>
        <v>0</v>
      </c>
      <c r="E110" s="881">
        <f>ROUND((D109*0.0975/366*29),0)</f>
        <v>0</v>
      </c>
      <c r="F110" s="881"/>
      <c r="G110" s="881"/>
      <c r="H110" s="878"/>
      <c r="I110" s="879"/>
    </row>
    <row r="111" spans="2:9" s="892" customFormat="1" ht="11.25" customHeight="1">
      <c r="B111" s="888"/>
      <c r="C111" s="881"/>
      <c r="D111" s="879">
        <f t="shared" si="2"/>
        <v>0</v>
      </c>
      <c r="E111" s="881">
        <f>ROUND((D110*0.0975/366*31),0)</f>
        <v>0</v>
      </c>
      <c r="F111" s="881"/>
      <c r="G111" s="881"/>
      <c r="H111" s="879"/>
      <c r="I111" s="879"/>
    </row>
    <row r="112" spans="2:9">
      <c r="B112" s="866" t="s">
        <v>287</v>
      </c>
      <c r="C112" s="886">
        <f>SUM(C99:C111)</f>
        <v>0</v>
      </c>
      <c r="D112" s="886"/>
      <c r="E112" s="886">
        <f>SUM(E100:E111)</f>
        <v>0</v>
      </c>
      <c r="F112" s="866"/>
      <c r="G112" s="866"/>
      <c r="H112" s="866"/>
      <c r="I112" s="866"/>
    </row>
    <row r="114" spans="9:9">
      <c r="I114" s="868"/>
    </row>
  </sheetData>
  <printOptions gridLines="1"/>
  <pageMargins left="0.20866141699999999" right="0.20866141699999999" top="1.2480314960000001" bottom="1.2480314960000001" header="0.31496062992126" footer="0.31496062992126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1"/>
  <sheetViews>
    <sheetView topLeftCell="B2" workbookViewId="0">
      <selection activeCell="G18" sqref="G18"/>
    </sheetView>
  </sheetViews>
  <sheetFormatPr defaultRowHeight="15.75"/>
  <cols>
    <col min="1" max="2" width="9.140625" style="1"/>
    <col min="3" max="3" width="19" style="1" customWidth="1"/>
    <col min="4" max="4" width="15.7109375" style="1" customWidth="1"/>
    <col min="5" max="5" width="13.7109375" style="1" customWidth="1"/>
    <col min="6" max="6" width="12" style="1" customWidth="1"/>
    <col min="7" max="7" width="13.5703125" style="1" customWidth="1"/>
    <col min="8" max="8" width="12.28515625" style="1" customWidth="1"/>
    <col min="9" max="9" width="12.42578125" style="1" customWidth="1"/>
    <col min="10" max="10" width="16.140625" style="1" customWidth="1"/>
    <col min="11" max="12" width="13.7109375" style="1" customWidth="1"/>
    <col min="13" max="13" width="12.7109375" style="1" customWidth="1"/>
    <col min="14" max="14" width="11.5703125" style="1" customWidth="1"/>
    <col min="15" max="15" width="9.140625" style="1" customWidth="1"/>
    <col min="16" max="16384" width="9.140625" style="1"/>
  </cols>
  <sheetData>
    <row r="1" spans="2:15">
      <c r="K1" s="9" t="s">
        <v>194</v>
      </c>
    </row>
    <row r="2" spans="2:15">
      <c r="C2" s="2418" t="s">
        <v>343</v>
      </c>
      <c r="D2" s="2418"/>
      <c r="E2" s="2418"/>
      <c r="F2" s="2418"/>
      <c r="G2" s="2418"/>
      <c r="H2" s="2418"/>
      <c r="I2" s="2418"/>
      <c r="J2" s="8"/>
      <c r="K2" s="8"/>
    </row>
    <row r="3" spans="2:15">
      <c r="C3" s="2419" t="s">
        <v>1004</v>
      </c>
      <c r="D3" s="2419"/>
      <c r="E3" s="2419"/>
      <c r="F3" s="2419"/>
      <c r="G3" s="2419"/>
      <c r="H3" s="2419"/>
      <c r="I3" s="2419"/>
      <c r="J3" s="8"/>
      <c r="K3" s="8"/>
    </row>
    <row r="4" spans="2:15" ht="15.75" customHeight="1">
      <c r="C4" s="2541" t="s">
        <v>243</v>
      </c>
      <c r="D4" s="2541"/>
      <c r="E4" s="2541"/>
      <c r="F4" s="2541"/>
      <c r="G4" s="2541"/>
      <c r="H4" s="2541"/>
      <c r="I4" s="2541"/>
      <c r="J4" s="2541"/>
      <c r="K4" s="2541"/>
    </row>
    <row r="5" spans="2:15">
      <c r="K5" s="610"/>
    </row>
    <row r="6" spans="2:15" ht="15.75" hidden="1" customHeight="1">
      <c r="C6" s="2696" t="s">
        <v>231</v>
      </c>
      <c r="D6" s="2698" t="s">
        <v>232</v>
      </c>
      <c r="E6" s="2698"/>
      <c r="F6" s="2698"/>
      <c r="G6" s="2698"/>
      <c r="H6" s="2699" t="s">
        <v>234</v>
      </c>
      <c r="I6" s="2700"/>
      <c r="J6" s="2701"/>
      <c r="K6" s="611"/>
    </row>
    <row r="7" spans="2:15" hidden="1">
      <c r="C7" s="2697"/>
      <c r="D7" s="2702" t="s">
        <v>233</v>
      </c>
      <c r="E7" s="2702"/>
      <c r="F7" s="2702"/>
      <c r="G7" s="2702"/>
      <c r="H7" s="2703" t="s">
        <v>235</v>
      </c>
      <c r="I7" s="2704"/>
      <c r="J7" s="2705"/>
      <c r="K7" s="611"/>
    </row>
    <row r="8" spans="2:15" hidden="1">
      <c r="C8" s="612"/>
      <c r="D8" s="613" t="s">
        <v>236</v>
      </c>
      <c r="E8" s="613" t="s">
        <v>237</v>
      </c>
      <c r="F8" s="613" t="s">
        <v>238</v>
      </c>
      <c r="G8" s="613" t="s">
        <v>239</v>
      </c>
      <c r="H8" s="613" t="s">
        <v>240</v>
      </c>
      <c r="I8" s="613" t="s">
        <v>237</v>
      </c>
      <c r="J8" s="614" t="s">
        <v>281</v>
      </c>
      <c r="K8" s="615"/>
    </row>
    <row r="9" spans="2:15" hidden="1">
      <c r="C9" s="616" t="s">
        <v>241</v>
      </c>
      <c r="D9" s="617">
        <v>99.81</v>
      </c>
      <c r="E9" s="617">
        <v>99.91</v>
      </c>
      <c r="F9" s="617">
        <v>99.88</v>
      </c>
      <c r="G9" s="617">
        <v>99.64</v>
      </c>
      <c r="H9" s="617">
        <v>99.83</v>
      </c>
      <c r="I9" s="617">
        <v>99.77</v>
      </c>
      <c r="J9" s="618">
        <v>99.64</v>
      </c>
      <c r="K9" s="619"/>
    </row>
    <row r="10" spans="2:15" ht="16.5" hidden="1" thickBot="1">
      <c r="C10" s="620" t="s">
        <v>242</v>
      </c>
      <c r="D10" s="621">
        <v>99.84</v>
      </c>
      <c r="E10" s="621">
        <v>99.57</v>
      </c>
      <c r="F10" s="621">
        <v>99.81</v>
      </c>
      <c r="G10" s="621">
        <v>99.82</v>
      </c>
      <c r="H10" s="621">
        <v>99.88</v>
      </c>
      <c r="I10" s="621">
        <v>99.86</v>
      </c>
      <c r="J10" s="622">
        <v>99.76</v>
      </c>
      <c r="K10" s="619"/>
    </row>
    <row r="11" spans="2:15" ht="16.5" thickBot="1">
      <c r="D11" s="605"/>
      <c r="E11" s="605"/>
      <c r="F11" s="605"/>
      <c r="G11" s="605"/>
      <c r="H11" s="605"/>
      <c r="I11" s="605"/>
      <c r="J11" s="605"/>
      <c r="K11" s="623"/>
    </row>
    <row r="12" spans="2:15" ht="26.25" customHeight="1">
      <c r="B12" s="2685" t="s">
        <v>1003</v>
      </c>
      <c r="C12" s="2687" t="s">
        <v>331</v>
      </c>
      <c r="D12" s="2689" t="s">
        <v>1359</v>
      </c>
      <c r="E12" s="2690"/>
      <c r="F12" s="2690"/>
      <c r="G12" s="2691"/>
      <c r="H12" s="2692" t="s">
        <v>1361</v>
      </c>
      <c r="I12" s="2693"/>
      <c r="J12" s="2693"/>
      <c r="K12" s="2694"/>
      <c r="L12" s="2689" t="s">
        <v>1362</v>
      </c>
      <c r="M12" s="2690"/>
      <c r="N12" s="2690"/>
      <c r="O12" s="2691"/>
    </row>
    <row r="13" spans="2:15" ht="34.5" customHeight="1">
      <c r="B13" s="2686"/>
      <c r="C13" s="2688"/>
      <c r="D13" s="561" t="s">
        <v>236</v>
      </c>
      <c r="E13" s="558" t="s">
        <v>237</v>
      </c>
      <c r="F13" s="558" t="s">
        <v>238</v>
      </c>
      <c r="G13" s="559" t="s">
        <v>239</v>
      </c>
      <c r="H13" s="561" t="s">
        <v>236</v>
      </c>
      <c r="I13" s="558" t="s">
        <v>237</v>
      </c>
      <c r="J13" s="558" t="s">
        <v>281</v>
      </c>
      <c r="K13" s="559" t="s">
        <v>1360</v>
      </c>
      <c r="L13" s="560" t="s">
        <v>236</v>
      </c>
      <c r="M13" s="558" t="s">
        <v>237</v>
      </c>
      <c r="N13" s="558" t="s">
        <v>238</v>
      </c>
      <c r="O13" s="559" t="s">
        <v>239</v>
      </c>
    </row>
    <row r="14" spans="2:15" ht="60.75" customHeight="1">
      <c r="B14" s="587">
        <v>1</v>
      </c>
      <c r="C14" s="348" t="s">
        <v>1363</v>
      </c>
      <c r="D14" s="585">
        <v>99.91</v>
      </c>
      <c r="E14" s="346">
        <v>99.91</v>
      </c>
      <c r="F14" s="346">
        <v>99.88</v>
      </c>
      <c r="G14" s="348">
        <v>99.64</v>
      </c>
      <c r="H14" s="585">
        <v>99.86</v>
      </c>
      <c r="I14" s="346">
        <v>99.9</v>
      </c>
      <c r="J14" s="346">
        <v>99.84</v>
      </c>
      <c r="K14" s="348">
        <v>99.9</v>
      </c>
      <c r="L14" s="576">
        <v>99.78</v>
      </c>
      <c r="M14" s="346">
        <v>99.93</v>
      </c>
      <c r="N14" s="346">
        <v>99.94</v>
      </c>
      <c r="O14" s="348">
        <v>99.91</v>
      </c>
    </row>
    <row r="15" spans="2:15" ht="63" customHeight="1" thickBot="1">
      <c r="B15" s="604">
        <v>2</v>
      </c>
      <c r="C15" s="350" t="s">
        <v>1364</v>
      </c>
      <c r="D15" s="588">
        <v>99.84</v>
      </c>
      <c r="E15" s="349">
        <v>99.57</v>
      </c>
      <c r="F15" s="349">
        <v>99.91</v>
      </c>
      <c r="G15" s="350">
        <v>99.82</v>
      </c>
      <c r="H15" s="588">
        <v>99.5</v>
      </c>
      <c r="I15" s="349">
        <v>99.84</v>
      </c>
      <c r="J15" s="349">
        <v>99.6</v>
      </c>
      <c r="K15" s="350">
        <v>99.6</v>
      </c>
      <c r="L15" s="624">
        <v>99.82</v>
      </c>
      <c r="M15" s="349">
        <v>99.84</v>
      </c>
      <c r="N15" s="349">
        <v>99.69</v>
      </c>
      <c r="O15" s="350">
        <v>99.9</v>
      </c>
    </row>
    <row r="18" spans="13:15" ht="52.5" customHeight="1"/>
    <row r="19" spans="13:15">
      <c r="M19" s="2695" t="s">
        <v>1420</v>
      </c>
      <c r="N19" s="2695"/>
      <c r="O19" s="2695"/>
    </row>
    <row r="20" spans="13:15">
      <c r="M20" s="2695"/>
      <c r="N20" s="2695"/>
      <c r="O20" s="2695"/>
    </row>
    <row r="21" spans="13:15" ht="28.5" customHeight="1">
      <c r="M21" s="2695"/>
      <c r="N21" s="2695"/>
      <c r="O21" s="2695"/>
    </row>
  </sheetData>
  <mergeCells count="14">
    <mergeCell ref="M19:O21"/>
    <mergeCell ref="C2:I2"/>
    <mergeCell ref="C3:I3"/>
    <mergeCell ref="C4:K4"/>
    <mergeCell ref="C6:C7"/>
    <mergeCell ref="D6:G6"/>
    <mergeCell ref="H6:J6"/>
    <mergeCell ref="D7:G7"/>
    <mergeCell ref="H7:J7"/>
    <mergeCell ref="B12:B13"/>
    <mergeCell ref="C12:C13"/>
    <mergeCell ref="D12:G12"/>
    <mergeCell ref="H12:K12"/>
    <mergeCell ref="L12:O12"/>
  </mergeCells>
  <printOptions horizontalCentered="1"/>
  <pageMargins left="0.7" right="0.7" top="0.75" bottom="0.75" header="0.3" footer="0.3"/>
  <pageSetup paperSize="9" scale="72" orientation="landscape" horizontalDpi="300" verticalDpi="300" r:id="rId1"/>
  <headerFooter>
    <oddHeader>&amp;R&amp;F</oddHeader>
    <oddFooter>&amp;L&amp;P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B2:M33"/>
  <sheetViews>
    <sheetView workbookViewId="0">
      <selection activeCell="B4" sqref="B4"/>
    </sheetView>
  </sheetViews>
  <sheetFormatPr defaultRowHeight="15"/>
  <cols>
    <col min="2" max="2" width="7.7109375" customWidth="1"/>
    <col min="3" max="3" width="30.140625" customWidth="1"/>
    <col min="4" max="4" width="17.140625" customWidth="1"/>
    <col min="5" max="5" width="16.7109375" customWidth="1"/>
    <col min="6" max="6" width="19.5703125" customWidth="1"/>
    <col min="7" max="7" width="18.7109375" customWidth="1"/>
    <col min="8" max="8" width="16.85546875" customWidth="1"/>
    <col min="9" max="9" width="17.5703125" customWidth="1"/>
    <col min="10" max="10" width="13.28515625" customWidth="1"/>
    <col min="11" max="11" width="13.7109375" customWidth="1"/>
    <col min="12" max="12" width="15.5703125" customWidth="1"/>
    <col min="13" max="13" width="14.85546875" customWidth="1"/>
    <col min="14" max="14" width="14.5703125" customWidth="1"/>
    <col min="15" max="15" width="13.42578125" customWidth="1"/>
  </cols>
  <sheetData>
    <row r="2" spans="2:13" ht="15.75">
      <c r="E2" s="2418" t="s">
        <v>343</v>
      </c>
      <c r="F2" s="2418"/>
      <c r="G2" s="2418"/>
      <c r="H2" s="2418"/>
      <c r="I2" s="2418"/>
      <c r="J2" s="2418"/>
      <c r="K2" s="2418"/>
    </row>
    <row r="3" spans="2:13" ht="15.75">
      <c r="E3" s="2419" t="s">
        <v>1004</v>
      </c>
      <c r="F3" s="2419"/>
      <c r="G3" s="2419"/>
      <c r="H3" s="2419"/>
      <c r="I3" s="2419"/>
      <c r="J3" s="2419"/>
      <c r="K3" s="2419"/>
    </row>
    <row r="4" spans="2:13">
      <c r="B4" s="567" t="s">
        <v>1399</v>
      </c>
    </row>
    <row r="5" spans="2:13" ht="30" customHeight="1">
      <c r="B5" s="2706" t="s">
        <v>1003</v>
      </c>
      <c r="C5" s="2706" t="s">
        <v>1388</v>
      </c>
      <c r="D5" s="2706" t="s">
        <v>452</v>
      </c>
      <c r="E5" s="2706" t="s">
        <v>1390</v>
      </c>
      <c r="F5" s="2708" t="s">
        <v>216</v>
      </c>
      <c r="G5" s="2708" t="s">
        <v>1389</v>
      </c>
      <c r="H5" s="2708" t="s">
        <v>1391</v>
      </c>
      <c r="I5" s="2708" t="s">
        <v>219</v>
      </c>
      <c r="J5" s="2710" t="s">
        <v>1392</v>
      </c>
      <c r="K5" s="2710"/>
      <c r="L5" s="2710"/>
      <c r="M5" s="2710"/>
    </row>
    <row r="6" spans="2:13">
      <c r="B6" s="2707"/>
      <c r="C6" s="2707"/>
      <c r="D6" s="2707"/>
      <c r="E6" s="2707"/>
      <c r="F6" s="2709"/>
      <c r="G6" s="2709"/>
      <c r="H6" s="2709"/>
      <c r="I6" s="2709"/>
      <c r="J6" s="566" t="s">
        <v>1393</v>
      </c>
      <c r="K6" s="566" t="s">
        <v>1394</v>
      </c>
      <c r="L6" s="566" t="s">
        <v>1395</v>
      </c>
      <c r="M6" s="566" t="s">
        <v>1396</v>
      </c>
    </row>
    <row r="7" spans="2:13"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2:13"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2:13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</row>
    <row r="10" spans="2:13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</row>
    <row r="11" spans="2:13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</row>
    <row r="12" spans="2:13"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</row>
    <row r="13" spans="2:13"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</row>
    <row r="14" spans="2:13"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</row>
    <row r="15" spans="2:13"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</row>
    <row r="16" spans="2:13"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</row>
    <row r="17" spans="2:13"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</row>
    <row r="18" spans="2:13"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</row>
    <row r="19" spans="2:13"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</row>
    <row r="20" spans="2:13"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</row>
    <row r="21" spans="2:13"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</row>
    <row r="22" spans="2:13"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  <row r="23" spans="2:13"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2:13"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</row>
    <row r="25" spans="2:13"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2:13"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</row>
    <row r="27" spans="2:13"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</row>
    <row r="28" spans="2:13"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</row>
    <row r="29" spans="2:13"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</row>
    <row r="30" spans="2:13"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</row>
    <row r="31" spans="2:13"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</row>
    <row r="32" spans="2:13"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</row>
    <row r="33" spans="2:13"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</row>
  </sheetData>
  <mergeCells count="11">
    <mergeCell ref="G5:G6"/>
    <mergeCell ref="H5:H6"/>
    <mergeCell ref="I5:I6"/>
    <mergeCell ref="J5:M5"/>
    <mergeCell ref="E2:K2"/>
    <mergeCell ref="E3:K3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B2:M33"/>
  <sheetViews>
    <sheetView workbookViewId="0">
      <selection activeCell="C23" sqref="C23"/>
    </sheetView>
  </sheetViews>
  <sheetFormatPr defaultRowHeight="15"/>
  <cols>
    <col min="3" max="3" width="32.28515625" customWidth="1"/>
    <col min="4" max="4" width="15.140625" customWidth="1"/>
    <col min="5" max="5" width="17.42578125" customWidth="1"/>
    <col min="6" max="6" width="16.28515625" customWidth="1"/>
    <col min="7" max="7" width="19.85546875" customWidth="1"/>
    <col min="8" max="8" width="14.5703125" customWidth="1"/>
    <col min="9" max="9" width="14.28515625" customWidth="1"/>
    <col min="10" max="10" width="14.7109375" customWidth="1"/>
    <col min="11" max="12" width="16.42578125" customWidth="1"/>
    <col min="13" max="13" width="12.5703125" customWidth="1"/>
  </cols>
  <sheetData>
    <row r="2" spans="2:13" ht="15.75">
      <c r="D2" s="2418" t="s">
        <v>343</v>
      </c>
      <c r="E2" s="2418"/>
      <c r="F2" s="2418"/>
      <c r="G2" s="2418"/>
      <c r="H2" s="2418"/>
      <c r="I2" s="2418"/>
      <c r="J2" s="2418"/>
    </row>
    <row r="3" spans="2:13" ht="15.75">
      <c r="D3" s="2419" t="s">
        <v>1004</v>
      </c>
      <c r="E3" s="2419"/>
      <c r="F3" s="2419"/>
      <c r="G3" s="2419"/>
      <c r="H3" s="2419"/>
      <c r="I3" s="2419"/>
      <c r="J3" s="2419"/>
    </row>
    <row r="4" spans="2:13">
      <c r="B4" s="567" t="s">
        <v>1398</v>
      </c>
    </row>
    <row r="5" spans="2:13">
      <c r="B5" s="2706" t="s">
        <v>1003</v>
      </c>
      <c r="C5" s="2706" t="s">
        <v>1388</v>
      </c>
      <c r="D5" s="2706" t="s">
        <v>452</v>
      </c>
      <c r="E5" s="2706" t="s">
        <v>1390</v>
      </c>
      <c r="F5" s="2708" t="s">
        <v>216</v>
      </c>
      <c r="G5" s="2708" t="s">
        <v>1389</v>
      </c>
      <c r="H5" s="2708" t="s">
        <v>1391</v>
      </c>
      <c r="I5" s="2708" t="s">
        <v>219</v>
      </c>
      <c r="J5" s="2710" t="s">
        <v>1392</v>
      </c>
      <c r="K5" s="2710"/>
      <c r="L5" s="2710"/>
      <c r="M5" s="2710"/>
    </row>
    <row r="6" spans="2:13">
      <c r="B6" s="2707"/>
      <c r="C6" s="2707"/>
      <c r="D6" s="2707"/>
      <c r="E6" s="2707"/>
      <c r="F6" s="2709"/>
      <c r="G6" s="2709"/>
      <c r="H6" s="2709"/>
      <c r="I6" s="2709"/>
      <c r="J6" s="566" t="s">
        <v>1393</v>
      </c>
      <c r="K6" s="566" t="s">
        <v>1394</v>
      </c>
      <c r="L6" s="566" t="s">
        <v>1395</v>
      </c>
      <c r="M6" s="566" t="s">
        <v>1396</v>
      </c>
    </row>
    <row r="7" spans="2:13"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2:13"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2:13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</row>
    <row r="10" spans="2:13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</row>
    <row r="11" spans="2:13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</row>
    <row r="12" spans="2:13"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</row>
    <row r="13" spans="2:13"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</row>
    <row r="14" spans="2:13"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</row>
    <row r="15" spans="2:13"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</row>
    <row r="16" spans="2:13"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</row>
    <row r="17" spans="2:13"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</row>
    <row r="18" spans="2:13"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</row>
    <row r="19" spans="2:13"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</row>
    <row r="20" spans="2:13"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</row>
    <row r="21" spans="2:13"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</row>
    <row r="22" spans="2:13"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  <row r="23" spans="2:13"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2:13"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</row>
    <row r="25" spans="2:13"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2:13"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</row>
    <row r="27" spans="2:13"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</row>
    <row r="28" spans="2:13"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</row>
    <row r="29" spans="2:13"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</row>
    <row r="30" spans="2:13"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</row>
    <row r="31" spans="2:13"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</row>
    <row r="32" spans="2:13"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</row>
    <row r="33" spans="2:13"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</row>
  </sheetData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D2:J2"/>
    <mergeCell ref="D3:J3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B2:M33"/>
  <sheetViews>
    <sheetView workbookViewId="0">
      <selection activeCell="B4" sqref="B4"/>
    </sheetView>
  </sheetViews>
  <sheetFormatPr defaultRowHeight="15"/>
  <cols>
    <col min="3" max="3" width="32.28515625" customWidth="1"/>
    <col min="4" max="4" width="15.140625" customWidth="1"/>
    <col min="5" max="5" width="17.42578125" customWidth="1"/>
    <col min="6" max="6" width="16.28515625" customWidth="1"/>
    <col min="7" max="7" width="19.85546875" customWidth="1"/>
    <col min="8" max="8" width="14.5703125" customWidth="1"/>
    <col min="9" max="9" width="14.28515625" customWidth="1"/>
    <col min="10" max="10" width="14.7109375" customWidth="1"/>
    <col min="11" max="12" width="16.42578125" customWidth="1"/>
    <col min="13" max="13" width="12.5703125" customWidth="1"/>
  </cols>
  <sheetData>
    <row r="2" spans="2:13" ht="15.75">
      <c r="D2" s="2418" t="s">
        <v>343</v>
      </c>
      <c r="E2" s="2418"/>
      <c r="F2" s="2418"/>
      <c r="G2" s="2418"/>
      <c r="H2" s="2418"/>
      <c r="I2" s="2418"/>
      <c r="J2" s="2418"/>
    </row>
    <row r="3" spans="2:13" ht="15.75">
      <c r="D3" s="2419" t="s">
        <v>1004</v>
      </c>
      <c r="E3" s="2419"/>
      <c r="F3" s="2419"/>
      <c r="G3" s="2419"/>
      <c r="H3" s="2419"/>
      <c r="I3" s="2419"/>
      <c r="J3" s="2419"/>
    </row>
    <row r="4" spans="2:13">
      <c r="B4" s="567" t="s">
        <v>1397</v>
      </c>
    </row>
    <row r="5" spans="2:13">
      <c r="B5" s="2706" t="s">
        <v>1003</v>
      </c>
      <c r="C5" s="2706" t="s">
        <v>1388</v>
      </c>
      <c r="D5" s="2706" t="s">
        <v>452</v>
      </c>
      <c r="E5" s="2706" t="s">
        <v>1390</v>
      </c>
      <c r="F5" s="2708" t="s">
        <v>216</v>
      </c>
      <c r="G5" s="2708" t="s">
        <v>1389</v>
      </c>
      <c r="H5" s="2708" t="s">
        <v>1391</v>
      </c>
      <c r="I5" s="2708" t="s">
        <v>219</v>
      </c>
      <c r="J5" s="2710" t="s">
        <v>1392</v>
      </c>
      <c r="K5" s="2710"/>
      <c r="L5" s="2710"/>
      <c r="M5" s="2710"/>
    </row>
    <row r="6" spans="2:13">
      <c r="B6" s="2707"/>
      <c r="C6" s="2707"/>
      <c r="D6" s="2707"/>
      <c r="E6" s="2707"/>
      <c r="F6" s="2709"/>
      <c r="G6" s="2709"/>
      <c r="H6" s="2709"/>
      <c r="I6" s="2709"/>
      <c r="J6" s="566" t="s">
        <v>1393</v>
      </c>
      <c r="K6" s="566" t="s">
        <v>1394</v>
      </c>
      <c r="L6" s="566" t="s">
        <v>1395</v>
      </c>
      <c r="M6" s="566" t="s">
        <v>1396</v>
      </c>
    </row>
    <row r="7" spans="2:13"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2:13"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2:13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</row>
    <row r="10" spans="2:13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</row>
    <row r="11" spans="2:13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</row>
    <row r="12" spans="2:13"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</row>
    <row r="13" spans="2:13"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</row>
    <row r="14" spans="2:13"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</row>
    <row r="15" spans="2:13"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</row>
    <row r="16" spans="2:13"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</row>
    <row r="17" spans="2:13"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</row>
    <row r="18" spans="2:13"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</row>
    <row r="19" spans="2:13"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</row>
    <row r="20" spans="2:13"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</row>
    <row r="21" spans="2:13"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</row>
    <row r="22" spans="2:13"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  <row r="23" spans="2:13"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2:13"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</row>
    <row r="25" spans="2:13"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2:13"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</row>
    <row r="27" spans="2:13"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</row>
    <row r="28" spans="2:13"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</row>
    <row r="29" spans="2:13"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</row>
    <row r="30" spans="2:13"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</row>
    <row r="31" spans="2:13"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</row>
    <row r="32" spans="2:13"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</row>
    <row r="33" spans="2:13"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</row>
  </sheetData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D2:J2"/>
    <mergeCell ref="D3:J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B2:M33"/>
  <sheetViews>
    <sheetView workbookViewId="0">
      <selection activeCell="C20" sqref="C20"/>
    </sheetView>
  </sheetViews>
  <sheetFormatPr defaultRowHeight="15"/>
  <cols>
    <col min="3" max="3" width="32.28515625" customWidth="1"/>
    <col min="4" max="4" width="15.140625" customWidth="1"/>
    <col min="5" max="5" width="17.42578125" customWidth="1"/>
    <col min="6" max="6" width="16.28515625" customWidth="1"/>
    <col min="7" max="7" width="19.85546875" customWidth="1"/>
    <col min="8" max="8" width="14.5703125" customWidth="1"/>
    <col min="9" max="9" width="14.28515625" customWidth="1"/>
    <col min="10" max="10" width="14.7109375" customWidth="1"/>
    <col min="11" max="12" width="16.42578125" customWidth="1"/>
    <col min="13" max="13" width="12.5703125" customWidth="1"/>
  </cols>
  <sheetData>
    <row r="2" spans="2:13" ht="15.75">
      <c r="D2" s="2418" t="s">
        <v>343</v>
      </c>
      <c r="E2" s="2418"/>
      <c r="F2" s="2418"/>
      <c r="G2" s="2418"/>
      <c r="H2" s="2418"/>
      <c r="I2" s="2418"/>
      <c r="J2" s="2418"/>
    </row>
    <row r="3" spans="2:13" ht="15.75">
      <c r="D3" s="2419" t="s">
        <v>1004</v>
      </c>
      <c r="E3" s="2419"/>
      <c r="F3" s="2419"/>
      <c r="G3" s="2419"/>
      <c r="H3" s="2419"/>
      <c r="I3" s="2419"/>
      <c r="J3" s="2419"/>
    </row>
    <row r="4" spans="2:13">
      <c r="B4" s="567" t="s">
        <v>1400</v>
      </c>
    </row>
    <row r="5" spans="2:13">
      <c r="B5" s="2706" t="s">
        <v>1003</v>
      </c>
      <c r="C5" s="2706" t="s">
        <v>1388</v>
      </c>
      <c r="D5" s="2706" t="s">
        <v>452</v>
      </c>
      <c r="E5" s="2706" t="s">
        <v>1390</v>
      </c>
      <c r="F5" s="2708" t="s">
        <v>216</v>
      </c>
      <c r="G5" s="2708" t="s">
        <v>1389</v>
      </c>
      <c r="H5" s="2708" t="s">
        <v>1391</v>
      </c>
      <c r="I5" s="2708" t="s">
        <v>219</v>
      </c>
      <c r="J5" s="2710" t="s">
        <v>1392</v>
      </c>
      <c r="K5" s="2710"/>
      <c r="L5" s="2710"/>
      <c r="M5" s="2710"/>
    </row>
    <row r="6" spans="2:13">
      <c r="B6" s="2707"/>
      <c r="C6" s="2707"/>
      <c r="D6" s="2707"/>
      <c r="E6" s="2707"/>
      <c r="F6" s="2709"/>
      <c r="G6" s="2709"/>
      <c r="H6" s="2709"/>
      <c r="I6" s="2709"/>
      <c r="J6" s="566" t="s">
        <v>1393</v>
      </c>
      <c r="K6" s="566" t="s">
        <v>1394</v>
      </c>
      <c r="L6" s="566" t="s">
        <v>1395</v>
      </c>
      <c r="M6" s="566" t="s">
        <v>1396</v>
      </c>
    </row>
    <row r="7" spans="2:13"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2:13"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2:13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</row>
    <row r="10" spans="2:13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</row>
    <row r="11" spans="2:13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</row>
    <row r="12" spans="2:13"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</row>
    <row r="13" spans="2:13"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</row>
    <row r="14" spans="2:13"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</row>
    <row r="15" spans="2:13"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</row>
    <row r="16" spans="2:13"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</row>
    <row r="17" spans="2:13"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</row>
    <row r="18" spans="2:13"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</row>
    <row r="19" spans="2:13"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</row>
    <row r="20" spans="2:13"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</row>
    <row r="21" spans="2:13"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</row>
    <row r="22" spans="2:13"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  <row r="23" spans="2:13"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2:13"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</row>
    <row r="25" spans="2:13"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2:13"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</row>
    <row r="27" spans="2:13"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</row>
    <row r="28" spans="2:13"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</row>
    <row r="29" spans="2:13"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</row>
    <row r="30" spans="2:13"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</row>
    <row r="31" spans="2:13"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</row>
    <row r="32" spans="2:13"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</row>
    <row r="33" spans="2:13"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</row>
  </sheetData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D2:J2"/>
    <mergeCell ref="D3:J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5"/>
  <sheetViews>
    <sheetView topLeftCell="A4" workbookViewId="0">
      <selection activeCell="E9" sqref="E9"/>
    </sheetView>
  </sheetViews>
  <sheetFormatPr defaultRowHeight="15.75"/>
  <cols>
    <col min="1" max="1" width="9.140625" style="97"/>
    <col min="2" max="2" width="18.42578125" style="97" bestFit="1" customWidth="1"/>
    <col min="3" max="3" width="11.5703125" style="97" customWidth="1"/>
    <col min="4" max="4" width="13.28515625" style="97" customWidth="1"/>
    <col min="5" max="5" width="11.7109375" style="97" customWidth="1"/>
    <col min="6" max="6" width="14.28515625" style="97" customWidth="1"/>
    <col min="7" max="7" width="9.5703125" style="97" bestFit="1" customWidth="1"/>
    <col min="8" max="8" width="10.42578125" style="97" customWidth="1"/>
    <col min="9" max="9" width="9.140625" style="97"/>
    <col min="10" max="10" width="9.7109375" style="97" bestFit="1" customWidth="1"/>
    <col min="11" max="16384" width="9.140625" style="97"/>
  </cols>
  <sheetData>
    <row r="2" spans="2:14">
      <c r="B2" s="2533" t="s">
        <v>297</v>
      </c>
      <c r="C2" s="2533"/>
      <c r="D2" s="2533"/>
      <c r="E2" s="2533"/>
      <c r="F2" s="2533"/>
      <c r="G2" s="2533"/>
      <c r="H2" s="2533"/>
    </row>
    <row r="3" spans="2:14">
      <c r="B3" s="2533" t="s">
        <v>298</v>
      </c>
      <c r="C3" s="2533"/>
      <c r="D3" s="2533"/>
      <c r="E3" s="2533"/>
      <c r="F3" s="2533"/>
      <c r="G3" s="2533"/>
      <c r="H3" s="2533"/>
    </row>
    <row r="4" spans="2:14">
      <c r="B4" s="2447" t="s">
        <v>91</v>
      </c>
      <c r="C4" s="2447"/>
      <c r="D4" s="2447"/>
      <c r="E4" s="2447"/>
      <c r="F4" s="2447"/>
      <c r="G4" s="2447"/>
      <c r="H4" s="2447"/>
    </row>
    <row r="6" spans="2:14" ht="16.5" thickBot="1">
      <c r="F6" s="102"/>
      <c r="H6" s="102" t="s">
        <v>97</v>
      </c>
    </row>
    <row r="7" spans="2:14">
      <c r="B7" s="143" t="s">
        <v>423</v>
      </c>
      <c r="C7" s="144" t="s">
        <v>445</v>
      </c>
      <c r="D7" s="2420" t="s">
        <v>446</v>
      </c>
      <c r="E7" s="2420" t="s">
        <v>427</v>
      </c>
      <c r="F7" s="2428" t="s">
        <v>443</v>
      </c>
      <c r="G7" s="2428"/>
      <c r="H7" s="2422" t="s">
        <v>444</v>
      </c>
      <c r="I7" s="95"/>
      <c r="J7" s="96"/>
      <c r="K7" s="94"/>
    </row>
    <row r="8" spans="2:14">
      <c r="B8" s="145"/>
      <c r="C8" s="146"/>
      <c r="D8" s="2421"/>
      <c r="E8" s="2421"/>
      <c r="F8" s="146" t="s">
        <v>341</v>
      </c>
      <c r="G8" s="146" t="s">
        <v>342</v>
      </c>
      <c r="H8" s="2423"/>
      <c r="I8" s="94"/>
      <c r="J8" s="94"/>
      <c r="K8" s="94"/>
    </row>
    <row r="9" spans="2:14" ht="31.5">
      <c r="B9" s="160" t="s">
        <v>102</v>
      </c>
      <c r="C9" s="229" t="s">
        <v>98</v>
      </c>
      <c r="D9" s="230">
        <f>('Annexure A-last Petition'!E211+'Annexure A-last Petition'!E300)/100+'Annexure A-last Petition'!E334/100</f>
        <v>623.73012000000017</v>
      </c>
      <c r="E9" s="183" t="s">
        <v>341</v>
      </c>
      <c r="F9" s="184">
        <f>'Annexure A-last Petition'!H211/100+'Annexure A-last Petition'!H300/100+'F8'!D16+'Annexure A-last Petition'!E334/100</f>
        <v>607.77732000000015</v>
      </c>
      <c r="G9" s="183"/>
      <c r="H9" s="105" t="s">
        <v>428</v>
      </c>
      <c r="I9" s="192"/>
      <c r="J9" s="217"/>
      <c r="K9" s="192"/>
    </row>
    <row r="10" spans="2:14" ht="31.5">
      <c r="B10" s="160" t="s">
        <v>102</v>
      </c>
      <c r="C10" s="229" t="s">
        <v>99</v>
      </c>
      <c r="D10" s="230">
        <f>'Annexure B-last Petition'!E171/100+'Annexure B-last Petition'!E172/100</f>
        <v>627.62400000000002</v>
      </c>
      <c r="E10" s="183" t="s">
        <v>342</v>
      </c>
      <c r="F10" s="184"/>
      <c r="G10" s="184">
        <f>'Annexure B-last Petition'!E171/100+'F8'!H16</f>
        <v>661.92</v>
      </c>
      <c r="H10" s="105" t="s">
        <v>428</v>
      </c>
      <c r="I10" s="192"/>
      <c r="J10" s="216"/>
      <c r="K10" s="94"/>
    </row>
    <row r="11" spans="2:14" ht="47.25">
      <c r="B11" s="160" t="s">
        <v>225</v>
      </c>
      <c r="C11" s="93"/>
      <c r="D11" s="190">
        <v>1607.95</v>
      </c>
      <c r="E11" s="183" t="s">
        <v>429</v>
      </c>
      <c r="F11" s="184">
        <v>235.26499999999999</v>
      </c>
      <c r="G11" s="184">
        <f>(273+225)+(273+225)/2*0.11+F24*0.11</f>
        <v>549.91999999999996</v>
      </c>
      <c r="H11" s="105" t="s">
        <v>379</v>
      </c>
      <c r="I11" s="94"/>
      <c r="J11" s="192"/>
      <c r="K11" s="94"/>
      <c r="L11" s="180"/>
      <c r="M11" s="180"/>
      <c r="N11" s="180"/>
    </row>
    <row r="12" spans="2:14" ht="33.75" customHeight="1">
      <c r="B12" s="160" t="s">
        <v>101</v>
      </c>
      <c r="C12" s="93"/>
      <c r="D12" s="191">
        <v>512.29</v>
      </c>
      <c r="E12" s="183" t="s">
        <v>429</v>
      </c>
      <c r="F12" s="184"/>
      <c r="G12" s="184">
        <f>(180)+(180)/2*0.11</f>
        <v>189.9</v>
      </c>
      <c r="H12" s="105" t="s">
        <v>379</v>
      </c>
      <c r="I12" s="94"/>
      <c r="J12" s="217"/>
      <c r="K12" s="94"/>
      <c r="L12" s="180"/>
      <c r="N12" s="180"/>
    </row>
    <row r="13" spans="2:14" ht="16.5" thickBot="1">
      <c r="B13" s="106" t="s">
        <v>287</v>
      </c>
      <c r="C13" s="107"/>
      <c r="D13" s="185">
        <f>SUM(D9:D12)</f>
        <v>3371.5941200000002</v>
      </c>
      <c r="E13" s="186"/>
      <c r="F13" s="185">
        <f>SUM(F9:F12)</f>
        <v>843.04232000000013</v>
      </c>
      <c r="G13" s="185">
        <f>SUM(G9:G12)</f>
        <v>1401.74</v>
      </c>
      <c r="H13" s="187"/>
      <c r="I13" s="94"/>
      <c r="J13" s="192"/>
      <c r="K13" s="192"/>
    </row>
    <row r="14" spans="2:14"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2:14">
      <c r="B15" s="96" t="s">
        <v>427</v>
      </c>
      <c r="C15" s="96"/>
      <c r="D15" s="94"/>
      <c r="E15" s="94"/>
      <c r="F15" s="94"/>
      <c r="G15" s="94"/>
      <c r="H15" s="94"/>
      <c r="I15" s="94"/>
      <c r="J15" s="94"/>
      <c r="K15" s="94"/>
    </row>
    <row r="16" spans="2:14">
      <c r="B16" s="97" t="s">
        <v>220</v>
      </c>
      <c r="H16" s="99"/>
      <c r="I16" s="94"/>
      <c r="J16" s="94"/>
      <c r="K16" s="94"/>
    </row>
    <row r="17" spans="2:11">
      <c r="B17" s="166" t="s">
        <v>423</v>
      </c>
      <c r="C17" s="166"/>
      <c r="D17" s="166"/>
      <c r="E17" s="166"/>
      <c r="F17" s="146" t="s">
        <v>341</v>
      </c>
      <c r="G17" s="146" t="s">
        <v>342</v>
      </c>
      <c r="H17" s="99"/>
      <c r="I17" s="94"/>
      <c r="J17" s="94"/>
      <c r="K17" s="94"/>
    </row>
    <row r="18" spans="2:11">
      <c r="B18" s="93" t="s">
        <v>430</v>
      </c>
      <c r="C18" s="93"/>
      <c r="D18" s="93"/>
      <c r="E18" s="93"/>
      <c r="F18" s="103">
        <f>F24+F25</f>
        <v>235.26499999999999</v>
      </c>
      <c r="G18" s="103">
        <f>G24+G25</f>
        <v>739.82</v>
      </c>
      <c r="H18" s="99"/>
      <c r="I18" s="94"/>
      <c r="J18" s="94"/>
      <c r="K18" s="94"/>
    </row>
    <row r="19" spans="2:11">
      <c r="B19" s="93" t="s">
        <v>415</v>
      </c>
      <c r="C19" s="93"/>
      <c r="D19" s="93"/>
      <c r="E19" s="93"/>
      <c r="F19" s="103">
        <f>F28+F9</f>
        <v>623.73012000000017</v>
      </c>
      <c r="G19" s="103">
        <f>G28+G10</f>
        <v>661.92</v>
      </c>
      <c r="H19" s="94"/>
      <c r="I19" s="94"/>
      <c r="J19" s="94"/>
      <c r="K19" s="94"/>
    </row>
    <row r="20" spans="2:11">
      <c r="B20" s="93"/>
      <c r="C20" s="93"/>
      <c r="D20" s="93"/>
      <c r="E20" s="93"/>
      <c r="F20" s="138">
        <f>SUM(F18:F19)</f>
        <v>858.99512000000016</v>
      </c>
      <c r="G20" s="138">
        <f>SUM(G18:G19)</f>
        <v>1401.74</v>
      </c>
      <c r="H20" s="96"/>
      <c r="I20" s="94"/>
      <c r="J20" s="94"/>
      <c r="K20" s="94"/>
    </row>
    <row r="21" spans="2:11">
      <c r="B21" s="94"/>
      <c r="C21" s="94"/>
      <c r="D21" s="94"/>
      <c r="E21" s="94"/>
      <c r="F21" s="98"/>
      <c r="G21" s="98"/>
      <c r="H21" s="96"/>
      <c r="I21" s="94"/>
      <c r="J21" s="94"/>
      <c r="K21" s="94"/>
    </row>
    <row r="22" spans="2:11">
      <c r="B22" s="226" t="s">
        <v>423</v>
      </c>
      <c r="C22" s="226"/>
      <c r="D22" s="226"/>
      <c r="E22" s="226"/>
      <c r="F22" s="146" t="s">
        <v>341</v>
      </c>
      <c r="G22" s="146" t="s">
        <v>342</v>
      </c>
      <c r="I22" s="94"/>
      <c r="J22" s="94"/>
      <c r="K22" s="94"/>
    </row>
    <row r="23" spans="2:11">
      <c r="B23" s="213" t="s">
        <v>216</v>
      </c>
      <c r="C23" s="213"/>
      <c r="D23" s="213"/>
      <c r="E23" s="213"/>
      <c r="F23" s="184">
        <f>D9-F9</f>
        <v>15.952800000000025</v>
      </c>
      <c r="G23" s="184">
        <f>F29</f>
        <v>235.26499999999999</v>
      </c>
    </row>
    <row r="24" spans="2:11">
      <c r="B24" s="213" t="s">
        <v>228</v>
      </c>
      <c r="C24" s="213"/>
      <c r="D24" s="213"/>
      <c r="E24" s="213"/>
      <c r="F24" s="184">
        <f>221+2</f>
        <v>223</v>
      </c>
      <c r="G24" s="184">
        <v>678</v>
      </c>
      <c r="I24" s="180"/>
    </row>
    <row r="25" spans="2:11">
      <c r="B25" s="213" t="s">
        <v>227</v>
      </c>
      <c r="C25" s="213"/>
      <c r="D25" s="213"/>
      <c r="E25" s="213"/>
      <c r="F25" s="184">
        <v>12.265000000000001</v>
      </c>
      <c r="G25" s="184">
        <v>61.82</v>
      </c>
    </row>
    <row r="26" spans="2:11">
      <c r="B26" s="156" t="s">
        <v>229</v>
      </c>
      <c r="C26" s="156"/>
      <c r="D26" s="156"/>
      <c r="E26" s="156"/>
      <c r="F26" s="159">
        <f>SUM(F24:F25)</f>
        <v>235.26499999999999</v>
      </c>
      <c r="G26" s="159">
        <f>SUM(G24:G25)</f>
        <v>739.82</v>
      </c>
    </row>
    <row r="27" spans="2:11">
      <c r="B27" s="213" t="s">
        <v>217</v>
      </c>
      <c r="C27" s="213"/>
      <c r="D27" s="213"/>
      <c r="E27" s="213"/>
      <c r="F27" s="214">
        <f>F23+F26</f>
        <v>251.21780000000001</v>
      </c>
      <c r="G27" s="214">
        <f>G23+G26</f>
        <v>975.08500000000004</v>
      </c>
    </row>
    <row r="28" spans="2:11">
      <c r="B28" s="213" t="s">
        <v>218</v>
      </c>
      <c r="C28" s="213"/>
      <c r="D28" s="213"/>
      <c r="E28" s="215"/>
      <c r="F28" s="184">
        <f>F23</f>
        <v>15.952800000000025</v>
      </c>
      <c r="G28" s="183">
        <v>0</v>
      </c>
    </row>
    <row r="29" spans="2:11">
      <c r="B29" s="213" t="s">
        <v>219</v>
      </c>
      <c r="C29" s="213"/>
      <c r="D29" s="213"/>
      <c r="E29" s="213"/>
      <c r="F29" s="184">
        <f>F27-F28</f>
        <v>235.26499999999999</v>
      </c>
      <c r="G29" s="184">
        <f>G27-G28</f>
        <v>975.08500000000004</v>
      </c>
    </row>
    <row r="30" spans="2:11">
      <c r="B30" s="156" t="s">
        <v>230</v>
      </c>
      <c r="C30" s="156"/>
      <c r="D30" s="156"/>
      <c r="E30" s="156"/>
      <c r="F30" s="157">
        <f>F19</f>
        <v>623.73012000000017</v>
      </c>
      <c r="G30" s="157">
        <f>G19</f>
        <v>661.92</v>
      </c>
    </row>
    <row r="32" spans="2:11" ht="16.5" thickBot="1">
      <c r="B32" s="102" t="s">
        <v>221</v>
      </c>
    </row>
    <row r="33" spans="2:7">
      <c r="B33" s="218" t="str">
        <f>B9</f>
        <v>Transmission Lines &amp; Sub stations</v>
      </c>
      <c r="C33" s="219"/>
      <c r="D33" s="219"/>
      <c r="E33" s="219"/>
      <c r="F33" s="223">
        <f>F9-'F8'!D10</f>
        <v>577.89946866008688</v>
      </c>
      <c r="G33" s="220"/>
    </row>
    <row r="34" spans="2:7">
      <c r="B34" s="181" t="s">
        <v>102</v>
      </c>
      <c r="C34" s="156"/>
      <c r="D34" s="156"/>
      <c r="E34" s="156"/>
      <c r="F34" s="157"/>
      <c r="G34" s="209">
        <f>G10-'F8'!H10</f>
        <v>621.9</v>
      </c>
    </row>
    <row r="35" spans="2:7">
      <c r="B35" s="181" t="str">
        <f>B11</f>
        <v>Talwandi Sabo (400 KV) Transmission Lines</v>
      </c>
      <c r="C35" s="156"/>
      <c r="D35" s="156"/>
      <c r="E35" s="156"/>
      <c r="F35" s="156">
        <f>221+2</f>
        <v>223</v>
      </c>
      <c r="G35" s="162">
        <f>225+273</f>
        <v>498</v>
      </c>
    </row>
    <row r="36" spans="2:7">
      <c r="B36" s="181" t="str">
        <f>B12</f>
        <v>Rajpura (400 KV) Transmission Lines</v>
      </c>
      <c r="C36" s="156"/>
      <c r="D36" s="156"/>
      <c r="E36" s="156"/>
      <c r="F36" s="156"/>
      <c r="G36" s="162">
        <v>180</v>
      </c>
    </row>
    <row r="37" spans="2:7">
      <c r="B37" s="181"/>
      <c r="C37" s="156"/>
      <c r="D37" s="156"/>
      <c r="E37" s="156"/>
      <c r="F37" s="159">
        <f>SUM(F33:F36)</f>
        <v>800.89946866008688</v>
      </c>
      <c r="G37" s="224">
        <f>SUM(G34:G36)</f>
        <v>1299.9000000000001</v>
      </c>
    </row>
    <row r="38" spans="2:7">
      <c r="B38" s="181"/>
      <c r="C38" s="156"/>
      <c r="D38" s="156"/>
      <c r="E38" s="156"/>
      <c r="F38" s="157">
        <f>F13-F37</f>
        <v>42.14285133991325</v>
      </c>
      <c r="G38" s="209">
        <f>G13-G37</f>
        <v>101.83999999999992</v>
      </c>
    </row>
    <row r="39" spans="2:7" ht="16.5" thickBot="1">
      <c r="B39" s="225" t="s">
        <v>222</v>
      </c>
      <c r="C39" s="164"/>
      <c r="D39" s="164"/>
      <c r="E39" s="164"/>
      <c r="F39" s="210">
        <f>SUM(F37:F38)</f>
        <v>843.04232000000013</v>
      </c>
      <c r="G39" s="211">
        <f>SUM(G37:G38)</f>
        <v>1401.74</v>
      </c>
    </row>
    <row r="41" spans="2:7" ht="16.5" thickBot="1">
      <c r="B41" s="120" t="s">
        <v>224</v>
      </c>
      <c r="C41" s="120"/>
      <c r="D41" s="120"/>
      <c r="E41" s="120"/>
      <c r="F41" s="120"/>
      <c r="G41" s="120"/>
    </row>
    <row r="42" spans="2:7">
      <c r="B42" s="218"/>
      <c r="C42" s="219"/>
      <c r="D42" s="219"/>
      <c r="E42" s="219"/>
      <c r="F42" s="219"/>
      <c r="G42" s="220"/>
    </row>
    <row r="43" spans="2:7">
      <c r="B43" s="181" t="s">
        <v>223</v>
      </c>
      <c r="C43" s="156"/>
      <c r="D43" s="156"/>
      <c r="E43" s="156"/>
      <c r="F43" s="157">
        <f>F25</f>
        <v>12.265000000000001</v>
      </c>
      <c r="G43" s="209">
        <f>G25</f>
        <v>61.82</v>
      </c>
    </row>
    <row r="44" spans="2:7">
      <c r="B44" s="181" t="s">
        <v>226</v>
      </c>
      <c r="C44" s="156"/>
      <c r="D44" s="156"/>
      <c r="E44" s="156"/>
      <c r="F44" s="157">
        <f>'F8'!D10</f>
        <v>29.877851339913263</v>
      </c>
      <c r="G44" s="209">
        <f>'F8'!H10</f>
        <v>40.020000000000003</v>
      </c>
    </row>
    <row r="45" spans="2:7" ht="16.5" thickBot="1">
      <c r="B45" s="182"/>
      <c r="C45" s="164"/>
      <c r="D45" s="164"/>
      <c r="E45" s="164"/>
      <c r="F45" s="221">
        <f>SUM(F43:F44)</f>
        <v>42.142851339913264</v>
      </c>
      <c r="G45" s="222">
        <f>SUM(G43:G44)</f>
        <v>101.84</v>
      </c>
    </row>
  </sheetData>
  <mergeCells count="7">
    <mergeCell ref="F7:G7"/>
    <mergeCell ref="D7:D8"/>
    <mergeCell ref="H7:H8"/>
    <mergeCell ref="B2:H2"/>
    <mergeCell ref="B3:H3"/>
    <mergeCell ref="B4:H4"/>
    <mergeCell ref="E7:E8"/>
  </mergeCells>
  <phoneticPr fontId="14" type="noConversion"/>
  <printOptions horizontalCentered="1"/>
  <pageMargins left="0.7" right="0.7" top="0.75" bottom="0.75" header="0.3" footer="0.3"/>
  <pageSetup paperSize="9" scale="63" orientation="landscape" horizontalDpi="300" verticalDpi="300" r:id="rId1"/>
  <headerFooter>
    <oddHeader>&amp;R&amp;F</oddHeader>
    <oddFooter>&amp;L&amp;P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K334"/>
  <sheetViews>
    <sheetView view="pageBreakPreview" zoomScale="60" zoomScaleNormal="86" workbookViewId="0">
      <selection activeCell="M13" sqref="M13"/>
    </sheetView>
  </sheetViews>
  <sheetFormatPr defaultColWidth="36.42578125" defaultRowHeight="15.75"/>
  <cols>
    <col min="1" max="1" width="7.42578125" style="249" customWidth="1"/>
    <col min="2" max="2" width="10.28515625" style="249" customWidth="1"/>
    <col min="3" max="3" width="36.42578125" style="249" customWidth="1"/>
    <col min="4" max="4" width="27.5703125" style="249" customWidth="1"/>
    <col min="5" max="5" width="14" style="249" customWidth="1"/>
    <col min="6" max="6" width="16.42578125" style="249" customWidth="1"/>
    <col min="7" max="7" width="11.5703125" style="249" customWidth="1"/>
    <col min="8" max="8" width="15.42578125" style="249" customWidth="1"/>
    <col min="9" max="9" width="13.5703125" style="249" customWidth="1"/>
    <col min="10" max="10" width="13.42578125" style="249" customWidth="1"/>
    <col min="11" max="11" width="29.5703125" style="249" customWidth="1"/>
    <col min="12" max="16384" width="36.42578125" style="249"/>
  </cols>
  <sheetData>
    <row r="1" spans="1:11">
      <c r="A1" s="2715" t="s">
        <v>689</v>
      </c>
      <c r="B1" s="2715"/>
      <c r="C1" s="2715"/>
      <c r="D1" s="2715"/>
      <c r="E1" s="2715"/>
      <c r="F1" s="2715"/>
      <c r="G1" s="2715"/>
      <c r="H1" s="2715"/>
      <c r="I1" s="2715"/>
      <c r="J1" s="2715"/>
      <c r="K1" s="2716"/>
    </row>
    <row r="2" spans="1:11">
      <c r="A2" s="2717" t="s">
        <v>690</v>
      </c>
      <c r="B2" s="2718"/>
      <c r="C2" s="2718"/>
      <c r="D2" s="2718"/>
      <c r="E2" s="2718"/>
      <c r="F2" s="2718"/>
      <c r="G2" s="2718"/>
      <c r="H2" s="2718"/>
      <c r="I2" s="2718"/>
      <c r="J2" s="2718"/>
      <c r="K2" s="2719"/>
    </row>
    <row r="3" spans="1:11" ht="59.25" customHeight="1">
      <c r="A3" s="282" t="s">
        <v>389</v>
      </c>
      <c r="B3" s="282" t="s">
        <v>455</v>
      </c>
      <c r="C3" s="282" t="s">
        <v>451</v>
      </c>
      <c r="D3" s="282" t="s">
        <v>452</v>
      </c>
      <c r="E3" s="282" t="s">
        <v>683</v>
      </c>
      <c r="F3" s="283" t="s">
        <v>176</v>
      </c>
      <c r="G3" s="283" t="s">
        <v>177</v>
      </c>
      <c r="H3" s="283" t="s">
        <v>178</v>
      </c>
      <c r="I3" s="283" t="s">
        <v>179</v>
      </c>
      <c r="J3" s="283" t="s">
        <v>180</v>
      </c>
      <c r="K3" s="283" t="s">
        <v>454</v>
      </c>
    </row>
    <row r="4" spans="1:11">
      <c r="A4" s="250"/>
      <c r="B4" s="250"/>
      <c r="C4" s="250"/>
      <c r="D4" s="250"/>
      <c r="E4" s="250"/>
      <c r="F4" s="250"/>
      <c r="G4" s="251"/>
      <c r="H4" s="250"/>
      <c r="I4" s="250"/>
      <c r="J4" s="250"/>
      <c r="K4" s="250"/>
    </row>
    <row r="5" spans="1:11">
      <c r="A5" s="252">
        <v>1</v>
      </c>
      <c r="B5" s="252" t="s">
        <v>691</v>
      </c>
      <c r="C5" s="253" t="s">
        <v>692</v>
      </c>
      <c r="D5" s="253" t="s">
        <v>693</v>
      </c>
      <c r="E5" s="2720">
        <v>82.04</v>
      </c>
      <c r="F5" s="2722">
        <v>175.66</v>
      </c>
      <c r="G5" s="2722" t="s">
        <v>551</v>
      </c>
      <c r="H5" s="2720">
        <v>237.04</v>
      </c>
      <c r="I5" s="2720">
        <v>175.66</v>
      </c>
      <c r="J5" s="2720">
        <v>61.38</v>
      </c>
      <c r="K5" s="257" t="s">
        <v>694</v>
      </c>
    </row>
    <row r="6" spans="1:11" ht="31.5">
      <c r="A6" s="255"/>
      <c r="B6" s="255"/>
      <c r="C6" s="253" t="s">
        <v>695</v>
      </c>
      <c r="D6" s="253"/>
      <c r="E6" s="2721"/>
      <c r="F6" s="2723"/>
      <c r="G6" s="2722"/>
      <c r="H6" s="2723"/>
      <c r="I6" s="2723"/>
      <c r="J6" s="2723"/>
      <c r="K6" s="260" t="s">
        <v>696</v>
      </c>
    </row>
    <row r="7" spans="1:11" ht="31.5">
      <c r="A7" s="255"/>
      <c r="B7" s="255"/>
      <c r="C7" s="253" t="s">
        <v>697</v>
      </c>
      <c r="D7" s="253"/>
      <c r="E7" s="2721"/>
      <c r="F7" s="2723"/>
      <c r="G7" s="2722"/>
      <c r="H7" s="2723"/>
      <c r="I7" s="2723"/>
      <c r="J7" s="2723"/>
      <c r="K7" s="260" t="s">
        <v>698</v>
      </c>
    </row>
    <row r="8" spans="1:11" ht="31.5">
      <c r="A8" s="255"/>
      <c r="B8" s="255"/>
      <c r="C8" s="253" t="s">
        <v>699</v>
      </c>
      <c r="D8" s="253" t="s">
        <v>700</v>
      </c>
      <c r="E8" s="2721"/>
      <c r="F8" s="2723"/>
      <c r="G8" s="2722"/>
      <c r="H8" s="2723"/>
      <c r="I8" s="2723"/>
      <c r="J8" s="2723"/>
      <c r="K8" s="260" t="s">
        <v>701</v>
      </c>
    </row>
    <row r="9" spans="1:11" ht="31.5">
      <c r="A9" s="253"/>
      <c r="B9" s="253"/>
      <c r="C9" s="253" t="s">
        <v>702</v>
      </c>
      <c r="D9" s="253" t="s">
        <v>703</v>
      </c>
      <c r="E9" s="2721"/>
      <c r="F9" s="2723"/>
      <c r="G9" s="2722"/>
      <c r="H9" s="2723"/>
      <c r="I9" s="2723"/>
      <c r="J9" s="2723"/>
      <c r="K9" s="253"/>
    </row>
    <row r="10" spans="1:11">
      <c r="A10" s="253"/>
      <c r="B10" s="253"/>
      <c r="C10" s="253" t="s">
        <v>704</v>
      </c>
      <c r="D10" s="253" t="s">
        <v>705</v>
      </c>
      <c r="E10" s="2722">
        <v>155</v>
      </c>
      <c r="F10" s="2723"/>
      <c r="G10" s="2722"/>
      <c r="H10" s="2723"/>
      <c r="I10" s="2723"/>
      <c r="J10" s="2723"/>
      <c r="K10" s="253"/>
    </row>
    <row r="11" spans="1:11">
      <c r="A11" s="253"/>
      <c r="B11" s="253"/>
      <c r="C11" s="253" t="s">
        <v>706</v>
      </c>
      <c r="D11" s="253" t="s">
        <v>707</v>
      </c>
      <c r="E11" s="2721"/>
      <c r="F11" s="2723"/>
      <c r="G11" s="2722"/>
      <c r="H11" s="2723"/>
      <c r="I11" s="2723"/>
      <c r="J11" s="2723"/>
      <c r="K11" s="258"/>
    </row>
    <row r="12" spans="1:11">
      <c r="A12" s="253"/>
      <c r="B12" s="253"/>
      <c r="C12" s="253" t="s">
        <v>708</v>
      </c>
      <c r="D12" s="253"/>
      <c r="E12" s="2721"/>
      <c r="F12" s="2723"/>
      <c r="G12" s="2722"/>
      <c r="H12" s="2723"/>
      <c r="I12" s="2723"/>
      <c r="J12" s="2723"/>
      <c r="K12" s="253"/>
    </row>
    <row r="13" spans="1:11" ht="31.5">
      <c r="A13" s="253"/>
      <c r="B13" s="253"/>
      <c r="C13" s="253" t="s">
        <v>709</v>
      </c>
      <c r="D13" s="253" t="s">
        <v>710</v>
      </c>
      <c r="E13" s="2721"/>
      <c r="F13" s="2723"/>
      <c r="G13" s="2722"/>
      <c r="H13" s="2723"/>
      <c r="I13" s="2723"/>
      <c r="J13" s="2723"/>
      <c r="K13" s="253" t="s">
        <v>711</v>
      </c>
    </row>
    <row r="14" spans="1:11">
      <c r="A14" s="253"/>
      <c r="B14" s="253"/>
      <c r="C14" s="257"/>
      <c r="D14" s="257"/>
      <c r="E14" s="2721"/>
      <c r="F14" s="2723"/>
      <c r="G14" s="2722"/>
      <c r="H14" s="2723"/>
      <c r="I14" s="2723"/>
      <c r="J14" s="2723"/>
      <c r="K14" s="253" t="s">
        <v>712</v>
      </c>
    </row>
    <row r="15" spans="1:11">
      <c r="A15" s="253"/>
      <c r="B15" s="253"/>
      <c r="C15" s="253"/>
      <c r="D15" s="253"/>
      <c r="E15" s="2721"/>
      <c r="F15" s="2723"/>
      <c r="G15" s="2723"/>
      <c r="H15" s="2723"/>
      <c r="I15" s="2723"/>
      <c r="J15" s="2723"/>
      <c r="K15" s="257"/>
    </row>
    <row r="16" spans="1:11">
      <c r="A16" s="252">
        <v>2</v>
      </c>
      <c r="B16" s="252" t="s">
        <v>691</v>
      </c>
      <c r="C16" s="253" t="s">
        <v>713</v>
      </c>
      <c r="D16" s="253" t="s">
        <v>714</v>
      </c>
      <c r="E16" s="254">
        <v>868</v>
      </c>
      <c r="F16" s="2722">
        <v>1225.3599999999999</v>
      </c>
      <c r="G16" s="252">
        <v>102.13</v>
      </c>
      <c r="H16" s="252">
        <v>765.87</v>
      </c>
      <c r="I16" s="2720">
        <v>1098</v>
      </c>
      <c r="J16" s="2720">
        <v>266.63</v>
      </c>
      <c r="K16" s="257" t="s">
        <v>715</v>
      </c>
    </row>
    <row r="17" spans="1:11" ht="31.5">
      <c r="A17" s="255"/>
      <c r="B17" s="255"/>
      <c r="C17" s="253" t="s">
        <v>716</v>
      </c>
      <c r="D17" s="253"/>
      <c r="E17" s="254"/>
      <c r="F17" s="2723"/>
      <c r="G17" s="254"/>
      <c r="H17" s="257"/>
      <c r="I17" s="2723"/>
      <c r="J17" s="2723"/>
      <c r="K17" s="253" t="s">
        <v>717</v>
      </c>
    </row>
    <row r="18" spans="1:11" ht="31.5">
      <c r="A18" s="255"/>
      <c r="B18" s="255"/>
      <c r="C18" s="253" t="s">
        <v>718</v>
      </c>
      <c r="D18" s="253" t="s">
        <v>719</v>
      </c>
      <c r="E18" s="254">
        <v>337</v>
      </c>
      <c r="F18" s="2723"/>
      <c r="G18" s="254">
        <v>25.24</v>
      </c>
      <c r="H18" s="253">
        <v>311.76</v>
      </c>
      <c r="I18" s="2723"/>
      <c r="J18" s="2723"/>
      <c r="K18" s="284" t="s">
        <v>720</v>
      </c>
    </row>
    <row r="19" spans="1:11" ht="31.5">
      <c r="A19" s="255"/>
      <c r="B19" s="255"/>
      <c r="C19" s="253" t="s">
        <v>721</v>
      </c>
      <c r="D19" s="253" t="s">
        <v>722</v>
      </c>
      <c r="E19" s="254"/>
      <c r="F19" s="2723"/>
      <c r="G19" s="254"/>
      <c r="H19" s="254"/>
      <c r="I19" s="2723"/>
      <c r="J19" s="2723"/>
      <c r="K19" s="253" t="s">
        <v>723</v>
      </c>
    </row>
    <row r="20" spans="1:11" ht="25.5" customHeight="1">
      <c r="A20" s="255"/>
      <c r="B20" s="255"/>
      <c r="C20" s="253" t="s">
        <v>724</v>
      </c>
      <c r="D20" s="253"/>
      <c r="E20" s="254"/>
      <c r="F20" s="2723"/>
      <c r="G20" s="254"/>
      <c r="H20" s="254"/>
      <c r="I20" s="2723"/>
      <c r="J20" s="2723"/>
      <c r="K20" s="277" t="s">
        <v>725</v>
      </c>
    </row>
    <row r="21" spans="1:11" ht="31.5">
      <c r="A21" s="255"/>
      <c r="B21" s="255"/>
      <c r="C21" s="253" t="s">
        <v>726</v>
      </c>
      <c r="D21" s="253" t="s">
        <v>571</v>
      </c>
      <c r="E21" s="254">
        <v>132</v>
      </c>
      <c r="F21" s="2723"/>
      <c r="G21" s="254"/>
      <c r="H21" s="257">
        <v>132</v>
      </c>
      <c r="I21" s="2723"/>
      <c r="J21" s="2723"/>
      <c r="K21" s="253" t="s">
        <v>727</v>
      </c>
    </row>
    <row r="22" spans="1:11" ht="31.5">
      <c r="A22" s="255"/>
      <c r="B22" s="255"/>
      <c r="C22" s="253" t="s">
        <v>728</v>
      </c>
      <c r="D22" s="253" t="s">
        <v>729</v>
      </c>
      <c r="E22" s="252">
        <v>147</v>
      </c>
      <c r="F22" s="2723"/>
      <c r="G22" s="254"/>
      <c r="H22" s="257">
        <v>147</v>
      </c>
      <c r="I22" s="2723"/>
      <c r="J22" s="2723"/>
      <c r="K22" s="253" t="s">
        <v>730</v>
      </c>
    </row>
    <row r="23" spans="1:11" ht="18.75" hidden="1" customHeight="1">
      <c r="A23" s="255"/>
      <c r="B23" s="255"/>
      <c r="C23" s="253"/>
      <c r="D23" s="253"/>
      <c r="E23" s="255"/>
      <c r="F23" s="254"/>
      <c r="G23" s="254"/>
      <c r="H23" s="254"/>
      <c r="I23" s="257"/>
      <c r="J23" s="257"/>
      <c r="K23" s="277"/>
    </row>
    <row r="24" spans="1:11" ht="18.75" customHeight="1">
      <c r="A24" s="255"/>
      <c r="B24" s="255"/>
      <c r="C24" s="253" t="s">
        <v>731</v>
      </c>
      <c r="D24" s="253" t="s">
        <v>732</v>
      </c>
      <c r="E24" s="255"/>
      <c r="F24" s="254"/>
      <c r="G24" s="254"/>
      <c r="H24" s="254"/>
      <c r="I24" s="257"/>
      <c r="J24" s="257"/>
      <c r="K24" s="277"/>
    </row>
    <row r="25" spans="1:11" ht="18.75" customHeight="1">
      <c r="A25" s="255"/>
      <c r="B25" s="255"/>
      <c r="C25" s="257" t="s">
        <v>733</v>
      </c>
      <c r="D25" s="253"/>
      <c r="E25" s="255"/>
      <c r="F25" s="254"/>
      <c r="G25" s="254"/>
      <c r="H25" s="254"/>
      <c r="I25" s="257"/>
      <c r="J25" s="257"/>
      <c r="K25" s="277"/>
    </row>
    <row r="26" spans="1:11" ht="18.75" customHeight="1">
      <c r="A26" s="255"/>
      <c r="B26" s="255"/>
      <c r="C26" s="257" t="s">
        <v>734</v>
      </c>
      <c r="D26" s="253" t="s">
        <v>735</v>
      </c>
      <c r="E26" s="252">
        <v>8</v>
      </c>
      <c r="F26" s="254"/>
      <c r="G26" s="254"/>
      <c r="H26" s="252">
        <v>8</v>
      </c>
      <c r="I26" s="257"/>
      <c r="J26" s="257"/>
      <c r="K26" s="277"/>
    </row>
    <row r="27" spans="1:11" ht="18.75" customHeight="1">
      <c r="A27" s="255"/>
      <c r="B27" s="255"/>
      <c r="C27" s="253" t="s">
        <v>736</v>
      </c>
      <c r="D27" s="253" t="s">
        <v>737</v>
      </c>
      <c r="E27" s="255"/>
      <c r="F27" s="254"/>
      <c r="G27" s="254"/>
      <c r="H27" s="254"/>
      <c r="I27" s="257"/>
      <c r="J27" s="257"/>
      <c r="K27" s="277"/>
    </row>
    <row r="28" spans="1:11" ht="18.75" customHeight="1">
      <c r="A28" s="255"/>
      <c r="B28" s="255"/>
      <c r="C28" s="253" t="s">
        <v>738</v>
      </c>
      <c r="D28" s="253" t="s">
        <v>739</v>
      </c>
      <c r="E28" s="255"/>
      <c r="F28" s="254"/>
      <c r="G28" s="254"/>
      <c r="H28" s="254"/>
      <c r="I28" s="257"/>
      <c r="J28" s="257"/>
      <c r="K28" s="277"/>
    </row>
    <row r="29" spans="1:11" ht="18.75" customHeight="1">
      <c r="A29" s="255"/>
      <c r="B29" s="255"/>
      <c r="C29" s="253"/>
      <c r="D29" s="253"/>
      <c r="E29" s="254"/>
      <c r="F29" s="254"/>
      <c r="G29" s="254"/>
      <c r="H29" s="254"/>
      <c r="I29" s="257"/>
      <c r="J29" s="257"/>
      <c r="K29" s="277"/>
    </row>
    <row r="30" spans="1:11" ht="31.5">
      <c r="A30" s="252">
        <v>3</v>
      </c>
      <c r="B30" s="252" t="s">
        <v>456</v>
      </c>
      <c r="C30" s="253" t="s">
        <v>740</v>
      </c>
      <c r="D30" s="253" t="s">
        <v>741</v>
      </c>
      <c r="E30" s="254">
        <v>1074</v>
      </c>
      <c r="F30" s="2722">
        <v>1660.68</v>
      </c>
      <c r="G30" s="254"/>
      <c r="H30" s="254">
        <v>1074</v>
      </c>
      <c r="I30" s="2720">
        <v>1658.98</v>
      </c>
      <c r="J30" s="2722">
        <v>317.32</v>
      </c>
      <c r="K30" s="253" t="s">
        <v>742</v>
      </c>
    </row>
    <row r="31" spans="1:11" ht="31.5">
      <c r="A31" s="255"/>
      <c r="B31" s="255"/>
      <c r="C31" s="253" t="s">
        <v>743</v>
      </c>
      <c r="D31" s="253" t="s">
        <v>744</v>
      </c>
      <c r="E31" s="254">
        <v>838</v>
      </c>
      <c r="F31" s="2722"/>
      <c r="G31" s="254">
        <v>1.7</v>
      </c>
      <c r="H31" s="252">
        <v>836.3</v>
      </c>
      <c r="I31" s="2722"/>
      <c r="J31" s="2722"/>
      <c r="K31" s="253" t="s">
        <v>745</v>
      </c>
    </row>
    <row r="32" spans="1:11" ht="31.5">
      <c r="A32" s="255"/>
      <c r="B32" s="255"/>
      <c r="C32" s="257" t="s">
        <v>746</v>
      </c>
      <c r="D32" s="257"/>
      <c r="E32" s="256"/>
      <c r="F32" s="2722"/>
      <c r="G32" s="254"/>
      <c r="H32" s="257"/>
      <c r="I32" s="2722"/>
      <c r="J32" s="2722"/>
      <c r="K32" s="285" t="s">
        <v>747</v>
      </c>
    </row>
    <row r="33" spans="1:11">
      <c r="A33" s="255"/>
      <c r="B33" s="255"/>
      <c r="C33" s="253" t="s">
        <v>726</v>
      </c>
      <c r="D33" s="253" t="s">
        <v>748</v>
      </c>
      <c r="E33" s="254">
        <v>66</v>
      </c>
      <c r="F33" s="2722"/>
      <c r="G33" s="257"/>
      <c r="H33" s="254">
        <v>66</v>
      </c>
      <c r="I33" s="2722"/>
      <c r="J33" s="2722"/>
      <c r="K33" s="253" t="s">
        <v>749</v>
      </c>
    </row>
    <row r="34" spans="1:11">
      <c r="A34" s="255"/>
      <c r="B34" s="255"/>
      <c r="C34" s="257"/>
      <c r="D34" s="253" t="s">
        <v>750</v>
      </c>
      <c r="E34" s="256"/>
      <c r="F34" s="254"/>
      <c r="G34" s="254"/>
      <c r="H34" s="254"/>
      <c r="I34" s="2722"/>
      <c r="J34" s="2722"/>
      <c r="K34" s="253"/>
    </row>
    <row r="35" spans="1:11">
      <c r="A35" s="255"/>
      <c r="B35" s="255"/>
      <c r="C35" s="258"/>
      <c r="D35" s="253"/>
      <c r="E35" s="259"/>
      <c r="F35" s="254"/>
      <c r="G35" s="254"/>
      <c r="H35" s="254"/>
      <c r="I35" s="254"/>
      <c r="J35" s="254"/>
      <c r="K35" s="253"/>
    </row>
    <row r="36" spans="1:11" ht="31.5">
      <c r="A36" s="252">
        <v>4</v>
      </c>
      <c r="B36" s="252" t="s">
        <v>751</v>
      </c>
      <c r="C36" s="253" t="s">
        <v>752</v>
      </c>
      <c r="D36" s="253" t="s">
        <v>741</v>
      </c>
      <c r="E36" s="254">
        <v>1280</v>
      </c>
      <c r="F36" s="254">
        <v>1198</v>
      </c>
      <c r="G36" s="254"/>
      <c r="H36" s="252">
        <v>1280</v>
      </c>
      <c r="I36" s="2722">
        <v>1399</v>
      </c>
      <c r="J36" s="2722">
        <v>143</v>
      </c>
      <c r="K36" s="257" t="s">
        <v>753</v>
      </c>
    </row>
    <row r="37" spans="1:11" ht="31.5">
      <c r="A37" s="255"/>
      <c r="B37" s="255"/>
      <c r="C37" s="253" t="s">
        <v>754</v>
      </c>
      <c r="D37" s="260" t="s">
        <v>755</v>
      </c>
      <c r="E37" s="254">
        <v>262</v>
      </c>
      <c r="F37" s="256">
        <v>201</v>
      </c>
      <c r="G37" s="254"/>
      <c r="H37" s="257">
        <v>262</v>
      </c>
      <c r="I37" s="2723"/>
      <c r="J37" s="2723"/>
      <c r="K37" s="253" t="s">
        <v>756</v>
      </c>
    </row>
    <row r="38" spans="1:11">
      <c r="A38" s="255"/>
      <c r="B38" s="255"/>
      <c r="C38" s="253" t="s">
        <v>757</v>
      </c>
      <c r="D38" s="253"/>
      <c r="E38" s="254"/>
      <c r="F38" s="256" t="s">
        <v>426</v>
      </c>
      <c r="G38" s="254"/>
      <c r="H38" s="257"/>
      <c r="I38" s="2723"/>
      <c r="J38" s="2723"/>
      <c r="K38" s="253"/>
    </row>
    <row r="39" spans="1:11">
      <c r="A39" s="255"/>
      <c r="B39" s="255"/>
      <c r="C39" s="253" t="s">
        <v>758</v>
      </c>
      <c r="D39" s="253" t="s">
        <v>571</v>
      </c>
      <c r="E39" s="254"/>
      <c r="F39" s="256"/>
      <c r="G39" s="254"/>
      <c r="H39" s="257"/>
      <c r="I39" s="2723"/>
      <c r="J39" s="2723"/>
      <c r="K39" s="253"/>
    </row>
    <row r="40" spans="1:11">
      <c r="A40" s="255"/>
      <c r="B40" s="255"/>
      <c r="C40" s="253"/>
      <c r="D40" s="253"/>
      <c r="E40" s="254"/>
      <c r="F40" s="254"/>
      <c r="G40" s="254"/>
      <c r="H40" s="254"/>
      <c r="I40" s="2723"/>
      <c r="J40" s="2723"/>
      <c r="K40" s="253"/>
    </row>
    <row r="41" spans="1:11">
      <c r="A41" s="252">
        <v>5</v>
      </c>
      <c r="B41" s="252" t="s">
        <v>505</v>
      </c>
      <c r="C41" s="253" t="s">
        <v>759</v>
      </c>
      <c r="D41" s="253" t="s">
        <v>714</v>
      </c>
      <c r="E41" s="254">
        <v>934</v>
      </c>
      <c r="F41" s="2722">
        <v>1405.84</v>
      </c>
      <c r="G41" s="254">
        <v>19.45</v>
      </c>
      <c r="H41" s="252">
        <v>914.55</v>
      </c>
      <c r="I41" s="2720">
        <v>602.39</v>
      </c>
      <c r="J41" s="2720">
        <v>848.16</v>
      </c>
      <c r="K41" s="257" t="s">
        <v>715</v>
      </c>
    </row>
    <row r="42" spans="1:11" ht="31.5">
      <c r="A42" s="255"/>
      <c r="B42" s="255"/>
      <c r="C42" s="253" t="s">
        <v>716</v>
      </c>
      <c r="D42" s="253"/>
      <c r="E42" s="254"/>
      <c r="F42" s="2722"/>
      <c r="G42" s="254"/>
      <c r="H42" s="254"/>
      <c r="I42" s="2723"/>
      <c r="J42" s="2723"/>
      <c r="K42" s="253" t="s">
        <v>760</v>
      </c>
    </row>
    <row r="43" spans="1:11" ht="31.5">
      <c r="A43" s="255"/>
      <c r="B43" s="255"/>
      <c r="C43" s="253" t="s">
        <v>761</v>
      </c>
      <c r="D43" s="253" t="s">
        <v>762</v>
      </c>
      <c r="E43" s="254">
        <v>1188</v>
      </c>
      <c r="F43" s="2722"/>
      <c r="G43" s="254">
        <v>784</v>
      </c>
      <c r="H43" s="254">
        <v>404</v>
      </c>
      <c r="I43" s="2723"/>
      <c r="J43" s="2723"/>
      <c r="K43" s="253" t="s">
        <v>763</v>
      </c>
    </row>
    <row r="44" spans="1:11" ht="31.5">
      <c r="A44" s="255"/>
      <c r="B44" s="255"/>
      <c r="C44" s="253" t="s">
        <v>764</v>
      </c>
      <c r="D44" s="253" t="s">
        <v>765</v>
      </c>
      <c r="E44" s="254"/>
      <c r="F44" s="2722"/>
      <c r="G44" s="254"/>
      <c r="H44" s="254"/>
      <c r="I44" s="2723"/>
      <c r="J44" s="2723"/>
      <c r="K44" s="253" t="s">
        <v>766</v>
      </c>
    </row>
    <row r="45" spans="1:11" ht="31.5">
      <c r="A45" s="255"/>
      <c r="B45" s="255"/>
      <c r="C45" s="253" t="s">
        <v>767</v>
      </c>
      <c r="D45" s="253" t="s">
        <v>571</v>
      </c>
      <c r="E45" s="254">
        <v>132</v>
      </c>
      <c r="F45" s="2722"/>
      <c r="G45" s="254"/>
      <c r="H45" s="254">
        <v>132</v>
      </c>
      <c r="I45" s="2723"/>
      <c r="J45" s="2723"/>
      <c r="K45" s="253" t="s">
        <v>768</v>
      </c>
    </row>
    <row r="46" spans="1:11">
      <c r="A46" s="255"/>
      <c r="B46" s="255"/>
      <c r="C46" s="253" t="s">
        <v>426</v>
      </c>
      <c r="D46" s="253"/>
      <c r="E46" s="254"/>
      <c r="F46" s="254"/>
      <c r="G46" s="254"/>
      <c r="H46" s="254"/>
      <c r="I46" s="2723"/>
      <c r="J46" s="2723"/>
      <c r="K46" s="253"/>
    </row>
    <row r="47" spans="1:11">
      <c r="A47" s="252">
        <v>6</v>
      </c>
      <c r="B47" s="252" t="s">
        <v>691</v>
      </c>
      <c r="C47" s="253" t="s">
        <v>769</v>
      </c>
      <c r="D47" s="253" t="s">
        <v>770</v>
      </c>
      <c r="E47" s="254">
        <v>1100</v>
      </c>
      <c r="F47" s="2722">
        <v>580.12</v>
      </c>
      <c r="G47" s="254">
        <v>9.84</v>
      </c>
      <c r="H47" s="252">
        <v>1090.1600000000001</v>
      </c>
      <c r="I47" s="2720">
        <v>570.28</v>
      </c>
      <c r="J47" s="2720">
        <v>636.88</v>
      </c>
      <c r="K47" s="257" t="s">
        <v>771</v>
      </c>
    </row>
    <row r="48" spans="1:11" ht="31.5">
      <c r="A48" s="255"/>
      <c r="B48" s="255"/>
      <c r="C48" s="253" t="s">
        <v>716</v>
      </c>
      <c r="D48" s="253"/>
      <c r="E48" s="254"/>
      <c r="F48" s="2721"/>
      <c r="G48" s="254"/>
      <c r="H48" s="254"/>
      <c r="I48" s="2723"/>
      <c r="J48" s="2723"/>
      <c r="K48" s="253" t="s">
        <v>772</v>
      </c>
    </row>
    <row r="49" spans="1:11" ht="31.5">
      <c r="A49" s="255"/>
      <c r="B49" s="255"/>
      <c r="C49" s="253" t="s">
        <v>773</v>
      </c>
      <c r="D49" s="253" t="s">
        <v>774</v>
      </c>
      <c r="E49" s="254">
        <v>51</v>
      </c>
      <c r="F49" s="2721"/>
      <c r="G49" s="254"/>
      <c r="H49" s="254">
        <v>51</v>
      </c>
      <c r="I49" s="2723"/>
      <c r="J49" s="2723"/>
      <c r="K49" s="253" t="s">
        <v>775</v>
      </c>
    </row>
    <row r="50" spans="1:11" ht="31.5">
      <c r="A50" s="255"/>
      <c r="B50" s="255"/>
      <c r="C50" s="253" t="s">
        <v>776</v>
      </c>
      <c r="D50" s="253"/>
      <c r="E50" s="254"/>
      <c r="F50" s="2721"/>
      <c r="G50" s="254"/>
      <c r="H50" s="254"/>
      <c r="I50" s="2723"/>
      <c r="J50" s="2723"/>
      <c r="K50" s="253" t="s">
        <v>777</v>
      </c>
    </row>
    <row r="51" spans="1:11" ht="31.5">
      <c r="A51" s="255"/>
      <c r="B51" s="255"/>
      <c r="C51" s="253" t="s">
        <v>726</v>
      </c>
      <c r="D51" s="253" t="s">
        <v>748</v>
      </c>
      <c r="E51" s="254">
        <v>66</v>
      </c>
      <c r="F51" s="2721"/>
      <c r="G51" s="254"/>
      <c r="H51" s="254">
        <v>66</v>
      </c>
      <c r="I51" s="2723"/>
      <c r="J51" s="2723"/>
      <c r="K51" s="253" t="s">
        <v>778</v>
      </c>
    </row>
    <row r="52" spans="1:11">
      <c r="A52" s="255"/>
      <c r="B52" s="255"/>
      <c r="C52" s="253"/>
      <c r="D52" s="253" t="s">
        <v>779</v>
      </c>
      <c r="E52" s="254"/>
      <c r="F52" s="256"/>
      <c r="G52" s="254"/>
      <c r="H52" s="254"/>
      <c r="I52" s="2723"/>
      <c r="J52" s="2723"/>
      <c r="K52" s="253"/>
    </row>
    <row r="53" spans="1:11">
      <c r="A53" s="255"/>
      <c r="B53" s="255"/>
      <c r="C53" s="253"/>
      <c r="D53" s="257"/>
      <c r="E53" s="254"/>
      <c r="F53" s="254"/>
      <c r="G53" s="254"/>
      <c r="H53" s="254"/>
      <c r="I53" s="2723"/>
      <c r="J53" s="2723"/>
      <c r="K53" s="253"/>
    </row>
    <row r="54" spans="1:11">
      <c r="A54" s="252">
        <v>7</v>
      </c>
      <c r="B54" s="252" t="s">
        <v>661</v>
      </c>
      <c r="C54" s="253" t="s">
        <v>780</v>
      </c>
      <c r="D54" s="253" t="s">
        <v>781</v>
      </c>
      <c r="E54" s="255">
        <v>868</v>
      </c>
      <c r="F54" s="2722">
        <v>1241.6400000000001</v>
      </c>
      <c r="G54" s="254"/>
      <c r="H54" s="252">
        <v>868</v>
      </c>
      <c r="I54" s="2720">
        <v>1241.6400000000001</v>
      </c>
      <c r="J54" s="2720">
        <v>584.6</v>
      </c>
      <c r="K54" s="257" t="s">
        <v>694</v>
      </c>
    </row>
    <row r="55" spans="1:11" ht="31.5">
      <c r="A55" s="255"/>
      <c r="B55" s="255"/>
      <c r="C55" s="253" t="s">
        <v>486</v>
      </c>
      <c r="D55" s="253" t="s">
        <v>782</v>
      </c>
      <c r="E55" s="255">
        <v>330</v>
      </c>
      <c r="F55" s="2723"/>
      <c r="G55" s="254"/>
      <c r="H55" s="257">
        <v>330</v>
      </c>
      <c r="I55" s="2723"/>
      <c r="J55" s="2723"/>
      <c r="K55" s="253" t="s">
        <v>783</v>
      </c>
    </row>
    <row r="56" spans="1:11" ht="31.5">
      <c r="A56" s="255"/>
      <c r="B56" s="255"/>
      <c r="C56" s="253" t="s">
        <v>784</v>
      </c>
      <c r="D56" s="253" t="s">
        <v>785</v>
      </c>
      <c r="E56" s="252">
        <v>156.9</v>
      </c>
      <c r="F56" s="2723"/>
      <c r="G56" s="254"/>
      <c r="H56" s="257">
        <v>156.9</v>
      </c>
      <c r="I56" s="2723"/>
      <c r="J56" s="2723"/>
      <c r="K56" s="253" t="s">
        <v>786</v>
      </c>
    </row>
    <row r="57" spans="1:11" ht="31.5">
      <c r="A57" s="255"/>
      <c r="B57" s="255"/>
      <c r="C57" s="253" t="s">
        <v>787</v>
      </c>
      <c r="D57" s="253" t="s">
        <v>788</v>
      </c>
      <c r="E57" s="255">
        <v>471</v>
      </c>
      <c r="F57" s="2723"/>
      <c r="G57" s="254"/>
      <c r="H57" s="261">
        <v>471</v>
      </c>
      <c r="I57" s="2723"/>
      <c r="J57" s="2723"/>
      <c r="K57" s="253" t="s">
        <v>789</v>
      </c>
    </row>
    <row r="58" spans="1:11" ht="31.5">
      <c r="A58" s="255"/>
      <c r="B58" s="255"/>
      <c r="C58" s="253" t="s">
        <v>790</v>
      </c>
      <c r="D58" s="253"/>
      <c r="E58" s="254" t="s">
        <v>426</v>
      </c>
      <c r="F58" s="257"/>
      <c r="G58" s="254"/>
      <c r="H58" s="257"/>
      <c r="I58" s="2723"/>
      <c r="J58" s="2723"/>
      <c r="K58" s="253" t="s">
        <v>791</v>
      </c>
    </row>
    <row r="59" spans="1:11">
      <c r="A59" s="255"/>
      <c r="B59" s="255"/>
      <c r="C59" s="253"/>
      <c r="D59" s="253"/>
      <c r="E59" s="254"/>
      <c r="F59" s="254"/>
      <c r="G59" s="254"/>
      <c r="H59" s="257"/>
      <c r="I59" s="2723"/>
      <c r="J59" s="2723"/>
      <c r="K59" s="253"/>
    </row>
    <row r="60" spans="1:11">
      <c r="A60" s="252">
        <v>8</v>
      </c>
      <c r="B60" s="252" t="s">
        <v>671</v>
      </c>
      <c r="C60" s="253" t="s">
        <v>792</v>
      </c>
      <c r="D60" s="253" t="s">
        <v>781</v>
      </c>
      <c r="E60" s="254">
        <v>950</v>
      </c>
      <c r="F60" s="254">
        <v>665.1</v>
      </c>
      <c r="G60" s="254" t="s">
        <v>793</v>
      </c>
      <c r="H60" s="252">
        <v>950</v>
      </c>
      <c r="I60" s="2720">
        <v>665.1</v>
      </c>
      <c r="J60" s="2720">
        <v>284.89999999999998</v>
      </c>
      <c r="K60" s="257" t="s">
        <v>694</v>
      </c>
    </row>
    <row r="61" spans="1:11">
      <c r="A61" s="255"/>
      <c r="B61" s="255"/>
      <c r="C61" s="253"/>
      <c r="D61" s="253" t="s">
        <v>794</v>
      </c>
      <c r="E61" s="254"/>
      <c r="F61" s="254"/>
      <c r="G61" s="254"/>
      <c r="H61" s="254"/>
      <c r="I61" s="2723"/>
      <c r="J61" s="2723"/>
      <c r="K61" s="253"/>
    </row>
    <row r="62" spans="1:11">
      <c r="A62" s="255"/>
      <c r="B62" s="255"/>
      <c r="C62" s="253"/>
      <c r="D62" s="253"/>
      <c r="E62" s="254"/>
      <c r="F62" s="254"/>
      <c r="G62" s="254"/>
      <c r="H62" s="254"/>
      <c r="I62" s="257"/>
      <c r="J62" s="257"/>
      <c r="K62" s="253"/>
    </row>
    <row r="63" spans="1:11">
      <c r="A63" s="252">
        <v>9</v>
      </c>
      <c r="B63" s="252" t="s">
        <v>519</v>
      </c>
      <c r="C63" s="253" t="s">
        <v>795</v>
      </c>
      <c r="D63" s="253" t="s">
        <v>741</v>
      </c>
      <c r="E63" s="254">
        <v>1074</v>
      </c>
      <c r="F63" s="2722">
        <v>1498.86</v>
      </c>
      <c r="G63" s="254"/>
      <c r="H63" s="252">
        <v>1074</v>
      </c>
      <c r="I63" s="2720">
        <v>1450.7</v>
      </c>
      <c r="J63" s="2720">
        <v>34.1</v>
      </c>
      <c r="K63" s="257" t="s">
        <v>796</v>
      </c>
    </row>
    <row r="64" spans="1:11" ht="31.5">
      <c r="A64" s="255"/>
      <c r="B64" s="255"/>
      <c r="C64" s="253" t="s">
        <v>797</v>
      </c>
      <c r="D64" s="253" t="s">
        <v>798</v>
      </c>
      <c r="E64" s="254">
        <v>393</v>
      </c>
      <c r="F64" s="2721"/>
      <c r="G64" s="254">
        <v>48.2</v>
      </c>
      <c r="H64" s="257">
        <v>344.8</v>
      </c>
      <c r="I64" s="2723"/>
      <c r="J64" s="2723"/>
      <c r="K64" s="253" t="s">
        <v>799</v>
      </c>
    </row>
    <row r="65" spans="1:11" ht="17.25" customHeight="1">
      <c r="A65" s="255"/>
      <c r="B65" s="255"/>
      <c r="C65" s="253" t="s">
        <v>800</v>
      </c>
      <c r="D65" s="253"/>
      <c r="E65" s="254"/>
      <c r="F65" s="2721"/>
      <c r="G65" s="254"/>
      <c r="H65" s="257"/>
      <c r="I65" s="2723"/>
      <c r="J65" s="2723"/>
      <c r="K65" s="253" t="s">
        <v>801</v>
      </c>
    </row>
    <row r="66" spans="1:11" ht="31.5">
      <c r="A66" s="255"/>
      <c r="B66" s="255"/>
      <c r="C66" s="253" t="s">
        <v>758</v>
      </c>
      <c r="D66" s="253" t="s">
        <v>748</v>
      </c>
      <c r="E66" s="254">
        <v>66</v>
      </c>
      <c r="F66" s="2721"/>
      <c r="G66" s="254"/>
      <c r="H66" s="261">
        <v>66</v>
      </c>
      <c r="I66" s="2723"/>
      <c r="J66" s="2723"/>
      <c r="K66" s="253" t="s">
        <v>802</v>
      </c>
    </row>
    <row r="67" spans="1:11" ht="31.5">
      <c r="A67" s="255"/>
      <c r="B67" s="255"/>
      <c r="C67" s="253"/>
      <c r="D67" s="253" t="s">
        <v>803</v>
      </c>
      <c r="E67" s="254"/>
      <c r="F67" s="254"/>
      <c r="G67" s="254"/>
      <c r="H67" s="254"/>
      <c r="I67" s="2723"/>
      <c r="J67" s="2723"/>
      <c r="K67" s="253" t="s">
        <v>804</v>
      </c>
    </row>
    <row r="68" spans="1:11">
      <c r="A68" s="255"/>
      <c r="B68" s="255"/>
      <c r="C68" s="253"/>
      <c r="D68" s="253"/>
      <c r="E68" s="254"/>
      <c r="F68" s="254"/>
      <c r="G68" s="254"/>
      <c r="H68" s="254"/>
      <c r="I68" s="257"/>
      <c r="J68" s="257"/>
      <c r="K68" s="253"/>
    </row>
    <row r="69" spans="1:11" ht="31.5">
      <c r="A69" s="252">
        <v>10</v>
      </c>
      <c r="B69" s="252" t="s">
        <v>488</v>
      </c>
      <c r="C69" s="253" t="s">
        <v>805</v>
      </c>
      <c r="D69" s="253" t="s">
        <v>770</v>
      </c>
      <c r="E69" s="254">
        <v>868</v>
      </c>
      <c r="F69" s="254">
        <v>853</v>
      </c>
      <c r="G69" s="254"/>
      <c r="H69" s="254">
        <v>868</v>
      </c>
      <c r="I69" s="2726">
        <v>1370.16</v>
      </c>
      <c r="J69" s="2722">
        <v>144</v>
      </c>
      <c r="K69" s="257" t="s">
        <v>806</v>
      </c>
    </row>
    <row r="70" spans="1:11" ht="31.5">
      <c r="A70" s="255"/>
      <c r="B70" s="255"/>
      <c r="C70" s="253" t="s">
        <v>807</v>
      </c>
      <c r="D70" s="253" t="s">
        <v>808</v>
      </c>
      <c r="E70" s="254">
        <v>523</v>
      </c>
      <c r="F70" s="256">
        <v>403</v>
      </c>
      <c r="G70" s="254">
        <v>8.84</v>
      </c>
      <c r="H70" s="254">
        <v>514.16</v>
      </c>
      <c r="I70" s="2723"/>
      <c r="J70" s="2723"/>
      <c r="K70" s="253" t="s">
        <v>809</v>
      </c>
    </row>
    <row r="71" spans="1:11" ht="31.5">
      <c r="A71" s="255"/>
      <c r="B71" s="255"/>
      <c r="C71" s="253" t="s">
        <v>726</v>
      </c>
      <c r="D71" s="255" t="s">
        <v>571</v>
      </c>
      <c r="E71" s="254">
        <v>132</v>
      </c>
      <c r="F71" s="256">
        <v>123</v>
      </c>
      <c r="G71" s="254"/>
      <c r="H71" s="254">
        <v>132</v>
      </c>
      <c r="I71" s="2723"/>
      <c r="J71" s="2723"/>
      <c r="K71" s="253" t="s">
        <v>810</v>
      </c>
    </row>
    <row r="72" spans="1:11">
      <c r="A72" s="255"/>
      <c r="B72" s="255"/>
      <c r="C72" s="253"/>
      <c r="D72" s="255"/>
      <c r="E72" s="254"/>
      <c r="F72" s="256"/>
      <c r="G72" s="254"/>
      <c r="H72" s="254"/>
      <c r="I72" s="2723"/>
      <c r="J72" s="2723"/>
      <c r="K72" s="253" t="s">
        <v>811</v>
      </c>
    </row>
    <row r="73" spans="1:11" ht="31.5">
      <c r="A73" s="252">
        <v>11</v>
      </c>
      <c r="B73" s="252" t="s">
        <v>812</v>
      </c>
      <c r="C73" s="253" t="s">
        <v>813</v>
      </c>
      <c r="D73" s="253" t="s">
        <v>814</v>
      </c>
      <c r="E73" s="254">
        <v>1373</v>
      </c>
      <c r="F73" s="2722">
        <v>1356.12</v>
      </c>
      <c r="G73" s="254">
        <v>50</v>
      </c>
      <c r="H73" s="254">
        <v>1323</v>
      </c>
      <c r="I73" s="2722">
        <v>1306.1199999999999</v>
      </c>
      <c r="J73" s="2720">
        <v>288.88</v>
      </c>
      <c r="K73" s="257" t="s">
        <v>815</v>
      </c>
    </row>
    <row r="74" spans="1:11">
      <c r="A74" s="255"/>
      <c r="B74" s="255"/>
      <c r="C74" s="253" t="s">
        <v>816</v>
      </c>
      <c r="D74" s="253"/>
      <c r="E74" s="254"/>
      <c r="F74" s="2721"/>
      <c r="G74" s="254"/>
      <c r="H74" s="257"/>
      <c r="I74" s="2723"/>
      <c r="J74" s="2723"/>
      <c r="K74" s="260" t="s">
        <v>817</v>
      </c>
    </row>
    <row r="75" spans="1:11">
      <c r="A75" s="255"/>
      <c r="B75" s="255"/>
      <c r="C75" s="253" t="s">
        <v>486</v>
      </c>
      <c r="D75" s="253" t="s">
        <v>518</v>
      </c>
      <c r="E75" s="254">
        <v>272</v>
      </c>
      <c r="F75" s="2721"/>
      <c r="G75" s="254"/>
      <c r="H75" s="257">
        <v>272</v>
      </c>
      <c r="I75" s="2723"/>
      <c r="J75" s="2723"/>
      <c r="K75" s="257"/>
    </row>
    <row r="76" spans="1:11">
      <c r="A76" s="262"/>
      <c r="B76" s="262"/>
      <c r="C76" s="257"/>
      <c r="D76" s="257"/>
      <c r="E76" s="256"/>
      <c r="F76" s="257"/>
      <c r="G76" s="257"/>
      <c r="H76" s="257"/>
      <c r="I76" s="2723"/>
      <c r="J76" s="2723"/>
      <c r="K76" s="257"/>
    </row>
    <row r="77" spans="1:11" ht="31.5">
      <c r="A77" s="261">
        <v>12</v>
      </c>
      <c r="B77" s="261" t="s">
        <v>691</v>
      </c>
      <c r="C77" s="257" t="s">
        <v>818</v>
      </c>
      <c r="D77" s="257" t="s">
        <v>819</v>
      </c>
      <c r="E77" s="256">
        <v>868</v>
      </c>
      <c r="F77" s="257"/>
      <c r="G77" s="258"/>
      <c r="H77" s="257">
        <v>868</v>
      </c>
      <c r="I77" s="2724" t="s">
        <v>551</v>
      </c>
      <c r="J77" s="2724">
        <v>868</v>
      </c>
      <c r="K77" s="257" t="s">
        <v>820</v>
      </c>
    </row>
    <row r="78" spans="1:11" ht="31.5">
      <c r="A78" s="262" t="s">
        <v>426</v>
      </c>
      <c r="B78" s="262"/>
      <c r="C78" s="263" t="s">
        <v>528</v>
      </c>
      <c r="D78" s="263" t="s">
        <v>821</v>
      </c>
      <c r="E78" s="256"/>
      <c r="F78" s="257"/>
      <c r="G78" s="257"/>
      <c r="H78" s="257"/>
      <c r="I78" s="2724"/>
      <c r="J78" s="2724"/>
      <c r="K78" s="257" t="s">
        <v>822</v>
      </c>
    </row>
    <row r="79" spans="1:11">
      <c r="A79" s="262" t="s">
        <v>426</v>
      </c>
      <c r="B79" s="262"/>
      <c r="C79" s="263"/>
      <c r="D79" s="263"/>
      <c r="E79" s="256"/>
      <c r="F79" s="257"/>
      <c r="G79" s="257"/>
      <c r="H79" s="257"/>
      <c r="I79" s="2724"/>
      <c r="J79" s="2724"/>
      <c r="K79" s="257"/>
    </row>
    <row r="80" spans="1:11">
      <c r="A80" s="262"/>
      <c r="B80" s="262"/>
      <c r="C80" s="263"/>
      <c r="D80" s="263"/>
      <c r="E80" s="256"/>
      <c r="F80" s="257"/>
      <c r="G80" s="257"/>
      <c r="H80" s="257"/>
      <c r="I80" s="2724"/>
      <c r="J80" s="2724"/>
      <c r="K80" s="257"/>
    </row>
    <row r="81" spans="1:11" ht="31.5">
      <c r="A81" s="261">
        <v>13</v>
      </c>
      <c r="B81" s="261" t="s">
        <v>586</v>
      </c>
      <c r="C81" s="257" t="s">
        <v>823</v>
      </c>
      <c r="D81" s="257" t="s">
        <v>824</v>
      </c>
      <c r="E81" s="256">
        <v>1074</v>
      </c>
      <c r="F81" s="257"/>
      <c r="G81" s="258"/>
      <c r="H81" s="257">
        <v>1074</v>
      </c>
      <c r="I81" s="2724" t="s">
        <v>551</v>
      </c>
      <c r="J81" s="2720">
        <v>1596.4</v>
      </c>
      <c r="K81" s="257" t="s">
        <v>825</v>
      </c>
    </row>
    <row r="82" spans="1:11" ht="31.5">
      <c r="A82" s="262" t="s">
        <v>426</v>
      </c>
      <c r="B82" s="262"/>
      <c r="C82" s="263" t="s">
        <v>826</v>
      </c>
      <c r="D82" s="263" t="s">
        <v>827</v>
      </c>
      <c r="E82" s="261">
        <v>638.4</v>
      </c>
      <c r="F82" s="257"/>
      <c r="G82" s="257">
        <v>182</v>
      </c>
      <c r="H82" s="261">
        <v>456.4</v>
      </c>
      <c r="I82" s="2724"/>
      <c r="J82" s="2724"/>
      <c r="K82" s="257" t="s">
        <v>828</v>
      </c>
    </row>
    <row r="83" spans="1:11" ht="31.5">
      <c r="A83" s="262" t="s">
        <v>426</v>
      </c>
      <c r="B83" s="262"/>
      <c r="C83" s="257" t="s">
        <v>829</v>
      </c>
      <c r="D83" s="257" t="s">
        <v>830</v>
      </c>
      <c r="E83" s="256"/>
      <c r="F83" s="257"/>
      <c r="G83" s="257"/>
      <c r="H83" s="257"/>
      <c r="I83" s="2724"/>
      <c r="J83" s="2724"/>
      <c r="K83" s="257" t="s">
        <v>831</v>
      </c>
    </row>
    <row r="84" spans="1:11">
      <c r="A84" s="262" t="s">
        <v>426</v>
      </c>
      <c r="B84" s="262"/>
      <c r="C84" s="263" t="s">
        <v>726</v>
      </c>
      <c r="D84" s="263" t="s">
        <v>748</v>
      </c>
      <c r="E84" s="256">
        <v>66</v>
      </c>
      <c r="F84" s="257"/>
      <c r="G84" s="257"/>
      <c r="H84" s="257">
        <v>66</v>
      </c>
      <c r="I84" s="2724"/>
      <c r="J84" s="2724"/>
      <c r="K84" s="257" t="s">
        <v>832</v>
      </c>
    </row>
    <row r="85" spans="1:11">
      <c r="A85" s="262"/>
      <c r="B85" s="262"/>
      <c r="C85" s="257"/>
      <c r="D85" s="257" t="s">
        <v>833</v>
      </c>
      <c r="E85" s="256" t="s">
        <v>426</v>
      </c>
      <c r="F85" s="256"/>
      <c r="G85" s="257"/>
      <c r="H85" s="257"/>
      <c r="I85" s="2724"/>
      <c r="J85" s="2724"/>
      <c r="K85" s="257"/>
    </row>
    <row r="86" spans="1:11">
      <c r="A86" s="262"/>
      <c r="B86" s="262"/>
      <c r="C86" s="257"/>
      <c r="D86" s="250"/>
      <c r="E86" s="256"/>
      <c r="F86" s="256"/>
      <c r="G86" s="257"/>
      <c r="H86" s="257"/>
      <c r="I86" s="257"/>
      <c r="J86" s="257"/>
      <c r="K86" s="257"/>
    </row>
    <row r="87" spans="1:11">
      <c r="A87" s="262"/>
      <c r="B87" s="262"/>
      <c r="C87" s="257"/>
      <c r="D87" s="250"/>
      <c r="E87" s="256"/>
      <c r="F87" s="256"/>
      <c r="G87" s="257"/>
      <c r="H87" s="257"/>
      <c r="I87" s="257"/>
      <c r="J87" s="257"/>
      <c r="K87" s="257"/>
    </row>
    <row r="88" spans="1:11" ht="31.5">
      <c r="A88" s="261">
        <v>14</v>
      </c>
      <c r="B88" s="261" t="s">
        <v>661</v>
      </c>
      <c r="C88" s="257" t="s">
        <v>834</v>
      </c>
      <c r="D88" s="257" t="s">
        <v>824</v>
      </c>
      <c r="E88" s="256">
        <v>1148</v>
      </c>
      <c r="F88" s="256"/>
      <c r="G88" s="257"/>
      <c r="H88" s="257">
        <v>1148</v>
      </c>
      <c r="I88" s="2723" t="s">
        <v>551</v>
      </c>
      <c r="J88" s="2726">
        <v>1559.8</v>
      </c>
      <c r="K88" s="257" t="s">
        <v>835</v>
      </c>
    </row>
    <row r="89" spans="1:11" ht="31.5">
      <c r="A89" s="262"/>
      <c r="B89" s="262"/>
      <c r="C89" s="257" t="s">
        <v>836</v>
      </c>
      <c r="D89" s="257" t="s">
        <v>837</v>
      </c>
      <c r="E89" s="256">
        <v>261.8</v>
      </c>
      <c r="F89" s="256"/>
      <c r="G89" s="257"/>
      <c r="H89" s="261">
        <v>261.8</v>
      </c>
      <c r="I89" s="2725"/>
      <c r="J89" s="2725"/>
      <c r="K89" s="257" t="s">
        <v>838</v>
      </c>
    </row>
    <row r="90" spans="1:11" ht="31.5">
      <c r="A90" s="262"/>
      <c r="B90" s="262"/>
      <c r="C90" s="257" t="s">
        <v>839</v>
      </c>
      <c r="D90" s="257"/>
      <c r="E90" s="256"/>
      <c r="F90" s="256"/>
      <c r="G90" s="257"/>
      <c r="H90" s="257"/>
      <c r="I90" s="2725"/>
      <c r="J90" s="2725"/>
      <c r="K90" s="257" t="s">
        <v>840</v>
      </c>
    </row>
    <row r="91" spans="1:11" ht="31.5">
      <c r="A91" s="262"/>
      <c r="B91" s="262"/>
      <c r="C91" s="257" t="s">
        <v>726</v>
      </c>
      <c r="D91" s="257" t="s">
        <v>841</v>
      </c>
      <c r="E91" s="256">
        <v>150</v>
      </c>
      <c r="F91" s="256"/>
      <c r="G91" s="257"/>
      <c r="H91" s="257">
        <v>150</v>
      </c>
      <c r="I91" s="2725"/>
      <c r="J91" s="2725"/>
      <c r="K91" s="257" t="s">
        <v>842</v>
      </c>
    </row>
    <row r="92" spans="1:11" ht="31.5">
      <c r="A92" s="262"/>
      <c r="B92" s="262"/>
      <c r="C92" s="257"/>
      <c r="D92" s="257" t="s">
        <v>843</v>
      </c>
      <c r="E92" s="256"/>
      <c r="F92" s="256"/>
      <c r="G92" s="257"/>
      <c r="H92" s="257"/>
      <c r="I92" s="2725"/>
      <c r="J92" s="2725"/>
      <c r="K92" s="257" t="s">
        <v>844</v>
      </c>
    </row>
    <row r="93" spans="1:11">
      <c r="A93" s="262"/>
      <c r="B93" s="262"/>
      <c r="C93" s="257"/>
      <c r="D93" s="257"/>
      <c r="E93" s="256"/>
      <c r="F93" s="257"/>
      <c r="G93" s="257"/>
      <c r="H93" s="257"/>
      <c r="I93" s="2725"/>
      <c r="J93" s="2725"/>
      <c r="K93" s="257" t="s">
        <v>845</v>
      </c>
    </row>
    <row r="94" spans="1:11" ht="31.5">
      <c r="A94" s="262"/>
      <c r="B94" s="262"/>
      <c r="C94" s="257"/>
      <c r="D94" s="257"/>
      <c r="E94" s="256"/>
      <c r="F94" s="257"/>
      <c r="G94" s="257"/>
      <c r="H94" s="257"/>
      <c r="I94" s="2725"/>
      <c r="J94" s="2725"/>
      <c r="K94" s="257" t="s">
        <v>846</v>
      </c>
    </row>
    <row r="95" spans="1:11" ht="31.5">
      <c r="A95" s="262"/>
      <c r="B95" s="262"/>
      <c r="C95" s="257"/>
      <c r="D95" s="257"/>
      <c r="E95" s="256"/>
      <c r="F95" s="257"/>
      <c r="G95" s="257"/>
      <c r="H95" s="257"/>
      <c r="I95" s="264"/>
      <c r="J95" s="264"/>
      <c r="K95" s="257" t="s">
        <v>847</v>
      </c>
    </row>
    <row r="96" spans="1:11">
      <c r="A96" s="262"/>
      <c r="B96" s="262"/>
      <c r="C96" s="257"/>
      <c r="D96" s="257"/>
      <c r="E96" s="256"/>
      <c r="F96" s="257"/>
      <c r="G96" s="257"/>
      <c r="H96" s="257"/>
      <c r="I96" s="257"/>
      <c r="J96" s="257"/>
      <c r="K96" s="257"/>
    </row>
    <row r="97" spans="1:11" ht="31.5">
      <c r="A97" s="261">
        <v>15</v>
      </c>
      <c r="B97" s="261" t="s">
        <v>602</v>
      </c>
      <c r="C97" s="257" t="s">
        <v>848</v>
      </c>
      <c r="D97" s="257" t="s">
        <v>824</v>
      </c>
      <c r="E97" s="256">
        <v>868</v>
      </c>
      <c r="F97" s="256"/>
      <c r="G97" s="257"/>
      <c r="H97" s="256">
        <v>868</v>
      </c>
      <c r="I97" s="2721" t="s">
        <v>551</v>
      </c>
      <c r="J97" s="2726">
        <v>1952.56</v>
      </c>
      <c r="K97" s="257" t="s">
        <v>849</v>
      </c>
    </row>
    <row r="98" spans="1:11" ht="31.5">
      <c r="A98" s="262"/>
      <c r="B98" s="262"/>
      <c r="C98" s="257" t="s">
        <v>850</v>
      </c>
      <c r="D98" s="257" t="s">
        <v>851</v>
      </c>
      <c r="E98" s="261">
        <v>952.56</v>
      </c>
      <c r="F98" s="257"/>
      <c r="G98" s="256"/>
      <c r="H98" s="261">
        <v>952.56</v>
      </c>
      <c r="I98" s="2725"/>
      <c r="J98" s="2725"/>
      <c r="K98" s="257" t="s">
        <v>831</v>
      </c>
    </row>
    <row r="99" spans="1:11">
      <c r="A99" s="262"/>
      <c r="B99" s="262"/>
      <c r="C99" s="257" t="s">
        <v>852</v>
      </c>
      <c r="D99" s="257"/>
      <c r="E99" s="256"/>
      <c r="F99" s="257"/>
      <c r="G99" s="256"/>
      <c r="H99" s="257"/>
      <c r="I99" s="2725"/>
      <c r="J99" s="2725"/>
      <c r="K99" s="257"/>
    </row>
    <row r="100" spans="1:11">
      <c r="A100" s="255"/>
      <c r="B100" s="255"/>
      <c r="C100" s="257" t="s">
        <v>853</v>
      </c>
      <c r="D100" s="252" t="s">
        <v>669</v>
      </c>
      <c r="E100" s="254">
        <v>132</v>
      </c>
      <c r="F100" s="254"/>
      <c r="G100" s="256"/>
      <c r="H100" s="254">
        <v>132</v>
      </c>
      <c r="I100" s="2725"/>
      <c r="J100" s="2725"/>
      <c r="K100" s="257"/>
    </row>
    <row r="101" spans="1:11">
      <c r="A101" s="262"/>
      <c r="B101" s="262"/>
      <c r="C101" s="257"/>
      <c r="D101" s="257"/>
      <c r="E101" s="256"/>
      <c r="F101" s="256"/>
      <c r="G101" s="256"/>
      <c r="H101" s="257"/>
      <c r="I101" s="257"/>
      <c r="J101" s="257"/>
      <c r="K101" s="257"/>
    </row>
    <row r="102" spans="1:11" ht="47.25">
      <c r="A102" s="265">
        <v>16</v>
      </c>
      <c r="B102" s="265" t="s">
        <v>497</v>
      </c>
      <c r="C102" s="257" t="s">
        <v>854</v>
      </c>
      <c r="D102" s="257" t="s">
        <v>855</v>
      </c>
      <c r="E102" s="256">
        <v>950</v>
      </c>
      <c r="F102" s="257"/>
      <c r="G102" s="266"/>
      <c r="H102" s="254">
        <v>950</v>
      </c>
      <c r="I102" s="2723" t="s">
        <v>551</v>
      </c>
      <c r="J102" s="2726">
        <v>1047.82</v>
      </c>
      <c r="K102" s="277" t="s">
        <v>856</v>
      </c>
    </row>
    <row r="103" spans="1:11">
      <c r="A103" s="262"/>
      <c r="B103" s="262"/>
      <c r="C103" s="257" t="s">
        <v>857</v>
      </c>
      <c r="D103" s="257" t="s">
        <v>858</v>
      </c>
      <c r="E103" s="256"/>
      <c r="F103" s="257"/>
      <c r="G103" s="266"/>
      <c r="H103" s="267"/>
      <c r="I103" s="2723"/>
      <c r="J103" s="2723"/>
      <c r="K103" s="257"/>
    </row>
    <row r="104" spans="1:11">
      <c r="A104" s="262"/>
      <c r="B104" s="262"/>
      <c r="C104" s="257" t="s">
        <v>859</v>
      </c>
      <c r="D104" s="257" t="s">
        <v>860</v>
      </c>
      <c r="E104" s="261">
        <v>7.21</v>
      </c>
      <c r="F104" s="262"/>
      <c r="G104" s="266"/>
      <c r="H104" s="252">
        <v>7.21</v>
      </c>
      <c r="I104" s="2723"/>
      <c r="J104" s="2723"/>
      <c r="K104" s="257"/>
    </row>
    <row r="105" spans="1:11" ht="31.5">
      <c r="A105" s="262"/>
      <c r="B105" s="262"/>
      <c r="C105" s="257" t="s">
        <v>861</v>
      </c>
      <c r="D105" s="257" t="s">
        <v>862</v>
      </c>
      <c r="E105" s="256"/>
      <c r="F105" s="262"/>
      <c r="G105" s="266"/>
      <c r="H105" s="255"/>
      <c r="I105" s="2723"/>
      <c r="J105" s="2723"/>
      <c r="K105" s="257"/>
    </row>
    <row r="106" spans="1:11">
      <c r="A106" s="262"/>
      <c r="B106" s="262"/>
      <c r="C106" s="257" t="s">
        <v>863</v>
      </c>
      <c r="D106" s="257"/>
      <c r="E106" s="256"/>
      <c r="F106" s="257"/>
      <c r="G106" s="256"/>
      <c r="H106" s="256"/>
      <c r="I106" s="2723"/>
      <c r="J106" s="2723"/>
      <c r="K106" s="257"/>
    </row>
    <row r="107" spans="1:11">
      <c r="A107" s="262"/>
      <c r="B107" s="262"/>
      <c r="C107" s="257" t="s">
        <v>864</v>
      </c>
      <c r="D107" s="257"/>
      <c r="E107" s="256"/>
      <c r="F107" s="257"/>
      <c r="G107" s="256"/>
      <c r="H107" s="256"/>
      <c r="I107" s="2723"/>
      <c r="J107" s="2723"/>
      <c r="K107" s="257"/>
    </row>
    <row r="108" spans="1:11" ht="31.5">
      <c r="A108" s="262"/>
      <c r="B108" s="262"/>
      <c r="C108" s="257" t="s">
        <v>865</v>
      </c>
      <c r="D108" s="257" t="s">
        <v>860</v>
      </c>
      <c r="E108" s="261">
        <v>24.61</v>
      </c>
      <c r="F108" s="257"/>
      <c r="G108" s="257"/>
      <c r="H108" s="261">
        <v>24.61</v>
      </c>
      <c r="I108" s="2723"/>
      <c r="J108" s="2723"/>
      <c r="K108" s="257"/>
    </row>
    <row r="109" spans="1:11" ht="31.5">
      <c r="A109" s="262"/>
      <c r="B109" s="262"/>
      <c r="C109" s="257" t="s">
        <v>866</v>
      </c>
      <c r="D109" s="257" t="s">
        <v>867</v>
      </c>
      <c r="E109" s="256"/>
      <c r="F109" s="257"/>
      <c r="G109" s="257"/>
      <c r="H109" s="257"/>
      <c r="I109" s="2723"/>
      <c r="J109" s="2723"/>
      <c r="K109" s="257"/>
    </row>
    <row r="110" spans="1:11" ht="31.5">
      <c r="A110" s="262"/>
      <c r="B110" s="262"/>
      <c r="C110" s="257" t="s">
        <v>868</v>
      </c>
      <c r="D110" s="257" t="s">
        <v>869</v>
      </c>
      <c r="E110" s="261">
        <v>66</v>
      </c>
      <c r="F110" s="257"/>
      <c r="G110" s="257"/>
      <c r="H110" s="257">
        <v>66</v>
      </c>
      <c r="I110" s="2723"/>
      <c r="J110" s="2723"/>
      <c r="K110" s="257"/>
    </row>
    <row r="111" spans="1:11">
      <c r="A111" s="262"/>
      <c r="B111" s="262"/>
      <c r="C111" s="257"/>
      <c r="D111" s="257" t="s">
        <v>870</v>
      </c>
      <c r="E111" s="256"/>
      <c r="F111" s="257"/>
      <c r="G111" s="257"/>
      <c r="H111" s="257"/>
      <c r="I111" s="2723"/>
      <c r="J111" s="2723"/>
      <c r="K111" s="257"/>
    </row>
    <row r="112" spans="1:11">
      <c r="A112" s="262"/>
      <c r="B112" s="262"/>
      <c r="C112" s="257"/>
      <c r="D112" s="257"/>
      <c r="E112" s="256"/>
      <c r="F112" s="257"/>
      <c r="G112" s="257"/>
      <c r="H112" s="257"/>
      <c r="I112" s="257"/>
      <c r="J112" s="257"/>
      <c r="K112" s="257"/>
    </row>
    <row r="113" spans="1:11">
      <c r="A113" s="265">
        <v>17</v>
      </c>
      <c r="B113" s="265" t="s">
        <v>497</v>
      </c>
      <c r="C113" s="268" t="s">
        <v>871</v>
      </c>
      <c r="D113" s="268" t="s">
        <v>714</v>
      </c>
      <c r="E113" s="269">
        <v>1074</v>
      </c>
      <c r="F113" s="268"/>
      <c r="G113" s="257"/>
      <c r="H113" s="268">
        <v>1074</v>
      </c>
      <c r="I113" s="2714" t="s">
        <v>551</v>
      </c>
      <c r="J113" s="2726">
        <v>1801.5</v>
      </c>
      <c r="K113" s="257"/>
    </row>
    <row r="114" spans="1:11" ht="31.5">
      <c r="A114" s="270"/>
      <c r="B114" s="270"/>
      <c r="C114" s="268" t="s">
        <v>872</v>
      </c>
      <c r="D114" s="268" t="s">
        <v>873</v>
      </c>
      <c r="E114" s="269">
        <v>661.5</v>
      </c>
      <c r="F114" s="268"/>
      <c r="G114" s="257"/>
      <c r="H114" s="261">
        <v>661.5</v>
      </c>
      <c r="I114" s="2714"/>
      <c r="J114" s="2723"/>
      <c r="K114" s="257" t="s">
        <v>874</v>
      </c>
    </row>
    <row r="115" spans="1:11">
      <c r="A115" s="270"/>
      <c r="B115" s="270"/>
      <c r="C115" s="268" t="s">
        <v>726</v>
      </c>
      <c r="D115" s="268" t="s">
        <v>841</v>
      </c>
      <c r="E115" s="269">
        <v>66</v>
      </c>
      <c r="F115" s="268"/>
      <c r="G115" s="257"/>
      <c r="H115" s="257">
        <v>66</v>
      </c>
      <c r="I115" s="2714"/>
      <c r="J115" s="2723"/>
      <c r="K115" s="257" t="s">
        <v>832</v>
      </c>
    </row>
    <row r="116" spans="1:11">
      <c r="A116" s="270"/>
      <c r="B116" s="270"/>
      <c r="C116" s="268"/>
      <c r="D116" s="268" t="s">
        <v>875</v>
      </c>
      <c r="E116" s="269"/>
      <c r="F116" s="268"/>
      <c r="G116" s="257"/>
      <c r="H116" s="257"/>
      <c r="I116" s="2714"/>
      <c r="J116" s="2723"/>
      <c r="K116" s="257"/>
    </row>
    <row r="117" spans="1:11">
      <c r="A117" s="270"/>
      <c r="B117" s="270"/>
      <c r="C117" s="268"/>
      <c r="D117" s="268"/>
      <c r="E117" s="269"/>
      <c r="F117" s="268"/>
      <c r="G117" s="257"/>
      <c r="H117" s="257"/>
      <c r="I117" s="268"/>
      <c r="J117" s="257"/>
      <c r="K117" s="257"/>
    </row>
    <row r="118" spans="1:11" ht="31.5">
      <c r="A118" s="265">
        <v>18</v>
      </c>
      <c r="B118" s="265" t="s">
        <v>876</v>
      </c>
      <c r="C118" s="268" t="s">
        <v>877</v>
      </c>
      <c r="D118" s="268" t="s">
        <v>770</v>
      </c>
      <c r="E118" s="269">
        <v>868</v>
      </c>
      <c r="F118" s="268"/>
      <c r="G118" s="257"/>
      <c r="H118" s="257">
        <v>868</v>
      </c>
      <c r="I118" s="2723" t="s">
        <v>551</v>
      </c>
      <c r="J118" s="2726">
        <v>2488.71</v>
      </c>
      <c r="K118" s="257"/>
    </row>
    <row r="119" spans="1:11" ht="24" customHeight="1">
      <c r="A119" s="270"/>
      <c r="B119" s="270"/>
      <c r="C119" s="268" t="s">
        <v>878</v>
      </c>
      <c r="D119" s="268" t="s">
        <v>879</v>
      </c>
      <c r="E119" s="265">
        <v>55.76</v>
      </c>
      <c r="F119" s="268"/>
      <c r="G119" s="257"/>
      <c r="H119" s="257">
        <v>55.76</v>
      </c>
      <c r="I119" s="2723"/>
      <c r="J119" s="2723"/>
      <c r="K119" s="257" t="s">
        <v>880</v>
      </c>
    </row>
    <row r="120" spans="1:11">
      <c r="A120" s="270"/>
      <c r="B120" s="270"/>
      <c r="C120" s="268" t="s">
        <v>881</v>
      </c>
      <c r="D120" s="268"/>
      <c r="E120" s="269"/>
      <c r="F120" s="268"/>
      <c r="G120" s="257"/>
      <c r="H120" s="257"/>
      <c r="I120" s="2723"/>
      <c r="J120" s="2723"/>
      <c r="K120" s="257" t="s">
        <v>882</v>
      </c>
    </row>
    <row r="121" spans="1:11" ht="31.5">
      <c r="A121" s="270"/>
      <c r="B121" s="270"/>
      <c r="C121" s="268" t="s">
        <v>883</v>
      </c>
      <c r="D121" s="268" t="s">
        <v>884</v>
      </c>
      <c r="E121" s="265">
        <v>1300.95</v>
      </c>
      <c r="F121" s="268"/>
      <c r="G121" s="257"/>
      <c r="H121" s="261">
        <v>1300.95</v>
      </c>
      <c r="I121" s="2723"/>
      <c r="J121" s="2723"/>
      <c r="K121" s="257"/>
    </row>
    <row r="122" spans="1:11">
      <c r="A122" s="270"/>
      <c r="B122" s="270"/>
      <c r="C122" s="268" t="s">
        <v>885</v>
      </c>
      <c r="D122" s="268"/>
      <c r="E122" s="269"/>
      <c r="F122" s="268"/>
      <c r="G122" s="257"/>
      <c r="H122" s="257"/>
      <c r="I122" s="2723"/>
      <c r="J122" s="2723"/>
      <c r="K122" s="257"/>
    </row>
    <row r="123" spans="1:11">
      <c r="A123" s="270"/>
      <c r="B123" s="270"/>
      <c r="C123" s="268" t="s">
        <v>480</v>
      </c>
      <c r="D123" s="268" t="s">
        <v>886</v>
      </c>
      <c r="E123" s="269">
        <v>264</v>
      </c>
      <c r="F123" s="268"/>
      <c r="G123" s="257"/>
      <c r="H123" s="257">
        <v>264</v>
      </c>
      <c r="I123" s="2723"/>
      <c r="J123" s="2723"/>
      <c r="K123" s="257"/>
    </row>
    <row r="124" spans="1:11">
      <c r="A124" s="270"/>
      <c r="B124" s="270"/>
      <c r="C124" s="268"/>
      <c r="D124" s="268"/>
      <c r="E124" s="269"/>
      <c r="F124" s="268"/>
      <c r="G124" s="257"/>
      <c r="H124" s="257"/>
      <c r="I124" s="2723"/>
      <c r="J124" s="2723"/>
      <c r="K124" s="257"/>
    </row>
    <row r="125" spans="1:11" ht="64.5" customHeight="1">
      <c r="A125" s="265">
        <v>19</v>
      </c>
      <c r="B125" s="265" t="s">
        <v>751</v>
      </c>
      <c r="C125" s="268" t="s">
        <v>887</v>
      </c>
      <c r="D125" s="268" t="s">
        <v>888</v>
      </c>
      <c r="E125" s="269">
        <v>868</v>
      </c>
      <c r="F125" s="268"/>
      <c r="G125" s="257"/>
      <c r="H125" s="257">
        <v>868</v>
      </c>
      <c r="I125" s="268" t="s">
        <v>551</v>
      </c>
      <c r="J125" s="257">
        <v>868</v>
      </c>
      <c r="K125" s="257"/>
    </row>
    <row r="126" spans="1:11">
      <c r="A126" s="270"/>
      <c r="B126" s="270"/>
      <c r="C126" s="268"/>
      <c r="D126" s="268"/>
      <c r="E126" s="269"/>
      <c r="F126" s="268"/>
      <c r="G126" s="257"/>
      <c r="H126" s="257"/>
      <c r="I126" s="268"/>
      <c r="J126" s="257"/>
      <c r="K126" s="257"/>
    </row>
    <row r="127" spans="1:11" ht="31.5">
      <c r="A127" s="265">
        <v>20</v>
      </c>
      <c r="B127" s="265" t="s">
        <v>751</v>
      </c>
      <c r="C127" s="268" t="s">
        <v>889</v>
      </c>
      <c r="D127" s="268" t="s">
        <v>890</v>
      </c>
      <c r="E127" s="269">
        <v>868</v>
      </c>
      <c r="F127" s="268"/>
      <c r="G127" s="257"/>
      <c r="H127" s="257">
        <v>868</v>
      </c>
      <c r="I127" s="2714" t="s">
        <v>551</v>
      </c>
      <c r="J127" s="2723">
        <v>868</v>
      </c>
      <c r="K127" s="257"/>
    </row>
    <row r="128" spans="1:11">
      <c r="A128" s="270"/>
      <c r="B128" s="270"/>
      <c r="C128" s="268" t="s">
        <v>891</v>
      </c>
      <c r="D128" s="268"/>
      <c r="E128" s="269"/>
      <c r="F128" s="268"/>
      <c r="G128" s="257"/>
      <c r="H128" s="257"/>
      <c r="I128" s="2714"/>
      <c r="J128" s="2723"/>
      <c r="K128" s="257"/>
    </row>
    <row r="129" spans="1:11">
      <c r="A129" s="270"/>
      <c r="B129" s="270"/>
      <c r="C129" s="268"/>
      <c r="D129" s="268"/>
      <c r="E129" s="269"/>
      <c r="F129" s="268"/>
      <c r="G129" s="257"/>
      <c r="H129" s="257"/>
      <c r="I129" s="2714"/>
      <c r="J129" s="2723"/>
      <c r="K129" s="257"/>
    </row>
    <row r="130" spans="1:11" ht="31.5">
      <c r="A130" s="265">
        <v>21</v>
      </c>
      <c r="B130" s="265" t="s">
        <v>505</v>
      </c>
      <c r="C130" s="268" t="s">
        <v>892</v>
      </c>
      <c r="D130" s="268" t="s">
        <v>890</v>
      </c>
      <c r="E130" s="269">
        <v>868</v>
      </c>
      <c r="F130" s="268"/>
      <c r="G130" s="257"/>
      <c r="H130" s="257">
        <v>868</v>
      </c>
      <c r="I130" s="2714" t="s">
        <v>551</v>
      </c>
      <c r="J130" s="2723">
        <v>868</v>
      </c>
      <c r="K130" s="257"/>
    </row>
    <row r="131" spans="1:11">
      <c r="A131" s="270"/>
      <c r="B131" s="270"/>
      <c r="C131" s="268" t="s">
        <v>893</v>
      </c>
      <c r="D131" s="268"/>
      <c r="E131" s="269"/>
      <c r="F131" s="268"/>
      <c r="G131" s="257"/>
      <c r="H131" s="257"/>
      <c r="I131" s="2714"/>
      <c r="J131" s="2723"/>
      <c r="K131" s="257"/>
    </row>
    <row r="132" spans="1:11">
      <c r="A132" s="270"/>
      <c r="B132" s="270"/>
      <c r="C132" s="268"/>
      <c r="D132" s="268"/>
      <c r="E132" s="269"/>
      <c r="F132" s="268"/>
      <c r="G132" s="257"/>
      <c r="H132" s="257"/>
      <c r="I132" s="2714"/>
      <c r="J132" s="2723"/>
      <c r="K132" s="257"/>
    </row>
    <row r="133" spans="1:11" ht="31.5">
      <c r="A133" s="265">
        <v>22</v>
      </c>
      <c r="B133" s="265" t="s">
        <v>557</v>
      </c>
      <c r="C133" s="268" t="s">
        <v>894</v>
      </c>
      <c r="D133" s="268" t="s">
        <v>895</v>
      </c>
      <c r="E133" s="269">
        <v>868</v>
      </c>
      <c r="F133" s="268"/>
      <c r="G133" s="257"/>
      <c r="H133" s="257">
        <v>868</v>
      </c>
      <c r="I133" s="2714" t="s">
        <v>551</v>
      </c>
      <c r="J133" s="2723">
        <v>868</v>
      </c>
      <c r="K133" s="257"/>
    </row>
    <row r="134" spans="1:11">
      <c r="A134" s="262"/>
      <c r="B134" s="262"/>
      <c r="C134" s="257"/>
      <c r="D134" s="257"/>
      <c r="E134" s="256"/>
      <c r="F134" s="257"/>
      <c r="G134" s="257"/>
      <c r="H134" s="257"/>
      <c r="I134" s="2723"/>
      <c r="J134" s="2723"/>
      <c r="K134" s="257"/>
    </row>
    <row r="135" spans="1:11">
      <c r="A135" s="265">
        <v>23</v>
      </c>
      <c r="B135" s="265" t="s">
        <v>488</v>
      </c>
      <c r="C135" s="257" t="s">
        <v>896</v>
      </c>
      <c r="D135" s="257" t="s">
        <v>897</v>
      </c>
      <c r="E135" s="261">
        <v>2230.1999999999998</v>
      </c>
      <c r="F135" s="257"/>
      <c r="G135" s="257"/>
      <c r="H135" s="261">
        <v>2230.1999999999998</v>
      </c>
      <c r="I135" s="2723" t="s">
        <v>551</v>
      </c>
      <c r="J135" s="2726">
        <v>2362.1999999999998</v>
      </c>
      <c r="K135" s="257"/>
    </row>
    <row r="136" spans="1:11">
      <c r="A136" s="270"/>
      <c r="B136" s="270"/>
      <c r="C136" s="257" t="s">
        <v>898</v>
      </c>
      <c r="D136" s="257" t="s">
        <v>899</v>
      </c>
      <c r="E136" s="256"/>
      <c r="F136" s="257"/>
      <c r="G136" s="257"/>
      <c r="H136" s="257"/>
      <c r="I136" s="2723"/>
      <c r="J136" s="2723"/>
      <c r="K136" s="257"/>
    </row>
    <row r="137" spans="1:11">
      <c r="A137" s="262"/>
      <c r="B137" s="262"/>
      <c r="C137" s="271" t="s">
        <v>900</v>
      </c>
      <c r="D137" s="271" t="s">
        <v>901</v>
      </c>
      <c r="E137" s="256">
        <v>132</v>
      </c>
      <c r="F137" s="257"/>
      <c r="G137" s="257"/>
      <c r="H137" s="257">
        <v>132</v>
      </c>
      <c r="I137" s="2723"/>
      <c r="J137" s="2723"/>
      <c r="K137" s="257"/>
    </row>
    <row r="138" spans="1:11">
      <c r="A138" s="262"/>
      <c r="B138" s="262"/>
      <c r="C138" s="257"/>
      <c r="D138" s="257" t="s">
        <v>902</v>
      </c>
      <c r="E138" s="256"/>
      <c r="F138" s="257"/>
      <c r="G138" s="257"/>
      <c r="H138" s="257"/>
      <c r="I138" s="2723"/>
      <c r="J138" s="2723"/>
      <c r="K138" s="257"/>
    </row>
    <row r="139" spans="1:11">
      <c r="A139" s="262"/>
      <c r="B139" s="262"/>
      <c r="C139" s="257"/>
      <c r="D139" s="257"/>
      <c r="E139" s="256"/>
      <c r="F139" s="257"/>
      <c r="G139" s="257"/>
      <c r="H139" s="257"/>
      <c r="I139" s="257"/>
      <c r="J139" s="257"/>
      <c r="K139" s="257"/>
    </row>
    <row r="140" spans="1:11">
      <c r="A140" s="265">
        <v>24</v>
      </c>
      <c r="B140" s="265" t="s">
        <v>488</v>
      </c>
      <c r="C140" s="257" t="s">
        <v>896</v>
      </c>
      <c r="D140" s="257" t="s">
        <v>903</v>
      </c>
      <c r="E140" s="261">
        <v>743.4</v>
      </c>
      <c r="F140" s="257"/>
      <c r="G140" s="257"/>
      <c r="H140" s="261">
        <v>743.4</v>
      </c>
      <c r="I140" s="2723" t="s">
        <v>551</v>
      </c>
      <c r="J140" s="2726">
        <v>875.4</v>
      </c>
      <c r="K140" s="257"/>
    </row>
    <row r="141" spans="1:11">
      <c r="A141" s="270"/>
      <c r="B141" s="270"/>
      <c r="C141" s="257" t="s">
        <v>904</v>
      </c>
      <c r="D141" s="257" t="s">
        <v>905</v>
      </c>
      <c r="E141" s="256"/>
      <c r="F141" s="257"/>
      <c r="G141" s="257"/>
      <c r="H141" s="257"/>
      <c r="I141" s="2723"/>
      <c r="J141" s="2723"/>
      <c r="K141" s="257"/>
    </row>
    <row r="142" spans="1:11">
      <c r="A142" s="262"/>
      <c r="B142" s="262"/>
      <c r="C142" s="257" t="s">
        <v>906</v>
      </c>
      <c r="D142" s="257" t="s">
        <v>907</v>
      </c>
      <c r="E142" s="256">
        <v>132</v>
      </c>
      <c r="F142" s="257"/>
      <c r="G142" s="257"/>
      <c r="H142" s="257">
        <v>132</v>
      </c>
      <c r="I142" s="2723"/>
      <c r="J142" s="2723"/>
      <c r="K142" s="257"/>
    </row>
    <row r="143" spans="1:11">
      <c r="A143" s="262"/>
      <c r="B143" s="262"/>
      <c r="C143" s="257"/>
      <c r="D143" s="257" t="s">
        <v>908</v>
      </c>
      <c r="E143" s="256"/>
      <c r="F143" s="257"/>
      <c r="G143" s="257"/>
      <c r="H143" s="257"/>
      <c r="I143" s="2723"/>
      <c r="J143" s="2723"/>
      <c r="K143" s="257"/>
    </row>
    <row r="144" spans="1:11">
      <c r="A144" s="262"/>
      <c r="B144" s="262"/>
      <c r="C144" s="257"/>
      <c r="D144" s="257"/>
      <c r="E144" s="256"/>
      <c r="F144" s="257"/>
      <c r="G144" s="257"/>
      <c r="H144" s="257"/>
      <c r="I144" s="257"/>
      <c r="J144" s="257"/>
      <c r="K144" s="257"/>
    </row>
    <row r="145" spans="1:11">
      <c r="A145" s="261">
        <v>25</v>
      </c>
      <c r="B145" s="261" t="s">
        <v>488</v>
      </c>
      <c r="C145" s="257" t="s">
        <v>896</v>
      </c>
      <c r="D145" s="257" t="s">
        <v>909</v>
      </c>
      <c r="E145" s="261">
        <v>1436.8</v>
      </c>
      <c r="F145" s="257"/>
      <c r="G145" s="257"/>
      <c r="H145" s="261">
        <v>1436.8</v>
      </c>
      <c r="I145" s="2723" t="s">
        <v>551</v>
      </c>
      <c r="J145" s="2726">
        <v>1568.8</v>
      </c>
      <c r="K145" s="257"/>
    </row>
    <row r="146" spans="1:11">
      <c r="A146" s="262"/>
      <c r="B146" s="262"/>
      <c r="C146" s="257" t="s">
        <v>910</v>
      </c>
      <c r="D146" s="257" t="s">
        <v>905</v>
      </c>
      <c r="E146" s="256"/>
      <c r="F146" s="257"/>
      <c r="G146" s="257"/>
      <c r="H146" s="257"/>
      <c r="I146" s="2723"/>
      <c r="J146" s="2723"/>
      <c r="K146" s="257"/>
    </row>
    <row r="147" spans="1:11">
      <c r="A147" s="262"/>
      <c r="B147" s="262"/>
      <c r="C147" s="257" t="s">
        <v>906</v>
      </c>
      <c r="D147" s="257" t="s">
        <v>911</v>
      </c>
      <c r="E147" s="256">
        <v>132</v>
      </c>
      <c r="F147" s="257"/>
      <c r="G147" s="257"/>
      <c r="H147" s="257">
        <v>132</v>
      </c>
      <c r="I147" s="2723"/>
      <c r="J147" s="2723"/>
      <c r="K147" s="257"/>
    </row>
    <row r="148" spans="1:11">
      <c r="A148" s="262"/>
      <c r="B148" s="262"/>
      <c r="C148" s="257"/>
      <c r="D148" s="257" t="s">
        <v>908</v>
      </c>
      <c r="E148" s="256"/>
      <c r="F148" s="257"/>
      <c r="G148" s="257"/>
      <c r="H148" s="257"/>
      <c r="I148" s="2723"/>
      <c r="J148" s="2723"/>
      <c r="K148" s="257"/>
    </row>
    <row r="149" spans="1:11">
      <c r="A149" s="262"/>
      <c r="B149" s="262"/>
      <c r="C149" s="257"/>
      <c r="D149" s="257"/>
      <c r="E149" s="256"/>
      <c r="F149" s="257"/>
      <c r="G149" s="257"/>
      <c r="H149" s="257"/>
      <c r="I149" s="257"/>
      <c r="J149" s="257"/>
      <c r="K149" s="257"/>
    </row>
    <row r="150" spans="1:11">
      <c r="A150" s="261">
        <v>26</v>
      </c>
      <c r="B150" s="261" t="s">
        <v>661</v>
      </c>
      <c r="C150" s="257" t="s">
        <v>912</v>
      </c>
      <c r="D150" s="257" t="s">
        <v>913</v>
      </c>
      <c r="E150" s="256">
        <v>868</v>
      </c>
      <c r="F150" s="257"/>
      <c r="G150" s="257"/>
      <c r="H150" s="257">
        <v>868</v>
      </c>
      <c r="I150" s="2723" t="s">
        <v>551</v>
      </c>
      <c r="J150" s="2723">
        <v>1380</v>
      </c>
      <c r="K150" s="257"/>
    </row>
    <row r="151" spans="1:11">
      <c r="A151" s="270"/>
      <c r="B151" s="270"/>
      <c r="C151" s="270" t="s">
        <v>914</v>
      </c>
      <c r="D151" s="270"/>
      <c r="E151" s="269"/>
      <c r="F151" s="270"/>
      <c r="G151" s="257"/>
      <c r="H151" s="257"/>
      <c r="I151" s="2723"/>
      <c r="J151" s="2723"/>
      <c r="K151" s="257"/>
    </row>
    <row r="152" spans="1:11">
      <c r="A152" s="270"/>
      <c r="B152" s="270"/>
      <c r="C152" s="270" t="s">
        <v>915</v>
      </c>
      <c r="D152" s="270"/>
      <c r="E152" s="269"/>
      <c r="F152" s="270"/>
      <c r="G152" s="257"/>
      <c r="H152" s="257"/>
      <c r="I152" s="2723"/>
      <c r="J152" s="2723"/>
      <c r="K152" s="257"/>
    </row>
    <row r="153" spans="1:11">
      <c r="A153" s="262"/>
      <c r="B153" s="262"/>
      <c r="C153" s="257" t="s">
        <v>916</v>
      </c>
      <c r="D153" s="257" t="s">
        <v>917</v>
      </c>
      <c r="E153" s="256">
        <v>30</v>
      </c>
      <c r="F153" s="257"/>
      <c r="G153" s="257"/>
      <c r="H153" s="257">
        <v>30</v>
      </c>
      <c r="I153" s="2723"/>
      <c r="J153" s="2723"/>
      <c r="K153" s="257"/>
    </row>
    <row r="154" spans="1:11">
      <c r="A154" s="262"/>
      <c r="B154" s="262"/>
      <c r="C154" s="257" t="s">
        <v>918</v>
      </c>
      <c r="D154" s="257"/>
      <c r="E154" s="256"/>
      <c r="F154" s="257"/>
      <c r="G154" s="257"/>
      <c r="H154" s="257"/>
      <c r="I154" s="2723"/>
      <c r="J154" s="2723"/>
      <c r="K154" s="257"/>
    </row>
    <row r="155" spans="1:11">
      <c r="A155" s="262"/>
      <c r="B155" s="262"/>
      <c r="C155" s="257" t="s">
        <v>919</v>
      </c>
      <c r="D155" s="257"/>
      <c r="E155" s="256"/>
      <c r="F155" s="257"/>
      <c r="G155" s="257"/>
      <c r="H155" s="257"/>
      <c r="I155" s="2723"/>
      <c r="J155" s="2723"/>
      <c r="K155" s="257"/>
    </row>
    <row r="156" spans="1:11">
      <c r="A156" s="262"/>
      <c r="B156" s="262"/>
      <c r="C156" s="257" t="s">
        <v>920</v>
      </c>
      <c r="D156" s="257"/>
      <c r="E156" s="256"/>
      <c r="F156" s="257"/>
      <c r="G156" s="257"/>
      <c r="H156" s="257"/>
      <c r="I156" s="2723"/>
      <c r="J156" s="2723"/>
      <c r="K156" s="257"/>
    </row>
    <row r="157" spans="1:11">
      <c r="A157" s="262"/>
      <c r="B157" s="262"/>
      <c r="C157" s="257" t="s">
        <v>921</v>
      </c>
      <c r="D157" s="257" t="s">
        <v>917</v>
      </c>
      <c r="E157" s="256">
        <v>35</v>
      </c>
      <c r="F157" s="257"/>
      <c r="G157" s="257"/>
      <c r="H157" s="257">
        <v>35</v>
      </c>
      <c r="I157" s="2723"/>
      <c r="J157" s="2723"/>
      <c r="K157" s="257"/>
    </row>
    <row r="158" spans="1:11">
      <c r="A158" s="262"/>
      <c r="B158" s="262"/>
      <c r="C158" s="257" t="s">
        <v>922</v>
      </c>
      <c r="D158" s="257"/>
      <c r="E158" s="256"/>
      <c r="F158" s="257"/>
      <c r="G158" s="257"/>
      <c r="H158" s="257"/>
      <c r="I158" s="2723"/>
      <c r="J158" s="2723"/>
      <c r="K158" s="257"/>
    </row>
    <row r="159" spans="1:11">
      <c r="A159" s="262"/>
      <c r="B159" s="262"/>
      <c r="C159" s="257" t="s">
        <v>923</v>
      </c>
      <c r="D159" s="257"/>
      <c r="E159" s="256"/>
      <c r="F159" s="257"/>
      <c r="G159" s="257"/>
      <c r="H159" s="257"/>
      <c r="I159" s="2723"/>
      <c r="J159" s="2723"/>
      <c r="K159" s="257"/>
    </row>
    <row r="160" spans="1:11">
      <c r="A160" s="262"/>
      <c r="B160" s="262"/>
      <c r="C160" s="257" t="s">
        <v>924</v>
      </c>
      <c r="D160" s="257">
        <v>2</v>
      </c>
      <c r="E160" s="256">
        <v>132</v>
      </c>
      <c r="F160" s="257"/>
      <c r="G160" s="257"/>
      <c r="H160" s="257">
        <v>132</v>
      </c>
      <c r="I160" s="2723"/>
      <c r="J160" s="2723"/>
      <c r="K160" s="257"/>
    </row>
    <row r="161" spans="1:11">
      <c r="A161" s="262"/>
      <c r="B161" s="262"/>
      <c r="C161" s="257" t="s">
        <v>925</v>
      </c>
      <c r="D161" s="257"/>
      <c r="E161" s="256"/>
      <c r="F161" s="257"/>
      <c r="G161" s="257"/>
      <c r="H161" s="257"/>
      <c r="I161" s="2723"/>
      <c r="J161" s="2723"/>
      <c r="K161" s="257"/>
    </row>
    <row r="162" spans="1:11">
      <c r="A162" s="262"/>
      <c r="B162" s="262"/>
      <c r="C162" s="257" t="s">
        <v>926</v>
      </c>
      <c r="D162" s="257">
        <v>5</v>
      </c>
      <c r="E162" s="256">
        <v>135</v>
      </c>
      <c r="F162" s="257"/>
      <c r="G162" s="257"/>
      <c r="H162" s="257">
        <v>135</v>
      </c>
      <c r="I162" s="2723"/>
      <c r="J162" s="2723"/>
      <c r="K162" s="257"/>
    </row>
    <row r="163" spans="1:11">
      <c r="A163" s="262"/>
      <c r="B163" s="262"/>
      <c r="C163" s="257" t="s">
        <v>927</v>
      </c>
      <c r="D163" s="257"/>
      <c r="E163" s="256"/>
      <c r="F163" s="257"/>
      <c r="G163" s="257"/>
      <c r="H163" s="257"/>
      <c r="I163" s="2723"/>
      <c r="J163" s="2723"/>
      <c r="K163" s="257"/>
    </row>
    <row r="164" spans="1:11">
      <c r="A164" s="262"/>
      <c r="B164" s="262"/>
      <c r="C164" s="257" t="s">
        <v>928</v>
      </c>
      <c r="D164" s="257">
        <v>1</v>
      </c>
      <c r="E164" s="256">
        <v>180</v>
      </c>
      <c r="F164" s="257"/>
      <c r="G164" s="257"/>
      <c r="H164" s="257">
        <v>180</v>
      </c>
      <c r="I164" s="2723"/>
      <c r="J164" s="2723"/>
      <c r="K164" s="257"/>
    </row>
    <row r="165" spans="1:11">
      <c r="A165" s="262"/>
      <c r="B165" s="262"/>
      <c r="C165" s="257"/>
      <c r="D165" s="257"/>
      <c r="E165" s="256"/>
      <c r="F165" s="257"/>
      <c r="G165" s="257"/>
      <c r="H165" s="257"/>
      <c r="I165" s="2723"/>
      <c r="J165" s="2723"/>
      <c r="K165" s="257"/>
    </row>
    <row r="166" spans="1:11">
      <c r="A166" s="261">
        <v>27</v>
      </c>
      <c r="B166" s="261" t="s">
        <v>469</v>
      </c>
      <c r="C166" s="257" t="s">
        <v>929</v>
      </c>
      <c r="D166" s="257" t="s">
        <v>930</v>
      </c>
      <c r="E166" s="256">
        <v>868</v>
      </c>
      <c r="F166" s="257"/>
      <c r="G166" s="257"/>
      <c r="H166" s="257">
        <v>868</v>
      </c>
      <c r="I166" s="2723" t="s">
        <v>551</v>
      </c>
      <c r="J166" s="2723">
        <v>868</v>
      </c>
      <c r="K166" s="257"/>
    </row>
    <row r="167" spans="1:11">
      <c r="A167" s="262"/>
      <c r="B167" s="262"/>
      <c r="C167" s="257" t="s">
        <v>931</v>
      </c>
      <c r="D167" s="257" t="s">
        <v>932</v>
      </c>
      <c r="E167" s="256"/>
      <c r="F167" s="257"/>
      <c r="G167" s="257"/>
      <c r="H167" s="257"/>
      <c r="I167" s="2723"/>
      <c r="J167" s="2723"/>
      <c r="K167" s="257"/>
    </row>
    <row r="168" spans="1:11">
      <c r="A168" s="262"/>
      <c r="B168" s="262"/>
      <c r="C168" s="257"/>
      <c r="D168" s="257"/>
      <c r="E168" s="256"/>
      <c r="F168" s="257"/>
      <c r="G168" s="257"/>
      <c r="H168" s="257"/>
      <c r="I168" s="257"/>
      <c r="J168" s="257"/>
      <c r="K168" s="257"/>
    </row>
    <row r="169" spans="1:11" ht="31.5">
      <c r="A169" s="261">
        <v>28</v>
      </c>
      <c r="B169" s="261" t="s">
        <v>557</v>
      </c>
      <c r="C169" s="257" t="s">
        <v>933</v>
      </c>
      <c r="D169" s="257" t="s">
        <v>934</v>
      </c>
      <c r="E169" s="256">
        <v>868</v>
      </c>
      <c r="F169" s="257"/>
      <c r="G169" s="257"/>
      <c r="H169" s="257">
        <v>868</v>
      </c>
      <c r="I169" s="2723" t="s">
        <v>551</v>
      </c>
      <c r="J169" s="2723">
        <v>868</v>
      </c>
      <c r="K169" s="257" t="s">
        <v>935</v>
      </c>
    </row>
    <row r="170" spans="1:11" ht="31.5">
      <c r="A170" s="262"/>
      <c r="B170" s="262"/>
      <c r="C170" s="257" t="s">
        <v>931</v>
      </c>
      <c r="D170" s="257" t="s">
        <v>936</v>
      </c>
      <c r="E170" s="256"/>
      <c r="F170" s="257"/>
      <c r="G170" s="257"/>
      <c r="H170" s="257"/>
      <c r="I170" s="2723"/>
      <c r="J170" s="2723"/>
      <c r="K170" s="257" t="s">
        <v>937</v>
      </c>
    </row>
    <row r="171" spans="1:11" ht="31.5">
      <c r="A171" s="262"/>
      <c r="B171" s="262"/>
      <c r="C171" s="257"/>
      <c r="D171" s="257" t="s">
        <v>938</v>
      </c>
      <c r="E171" s="256"/>
      <c r="F171" s="257"/>
      <c r="G171" s="257"/>
      <c r="H171" s="257"/>
      <c r="I171" s="2723"/>
      <c r="J171" s="2723"/>
      <c r="K171" s="257" t="s">
        <v>939</v>
      </c>
    </row>
    <row r="172" spans="1:11">
      <c r="A172" s="262"/>
      <c r="B172" s="262"/>
      <c r="C172" s="257"/>
      <c r="D172" s="257"/>
      <c r="E172" s="256"/>
      <c r="F172" s="257"/>
      <c r="G172" s="257"/>
      <c r="H172" s="257"/>
      <c r="I172" s="2723"/>
      <c r="J172" s="2723"/>
      <c r="K172" s="257" t="s">
        <v>940</v>
      </c>
    </row>
    <row r="173" spans="1:11" ht="31.5">
      <c r="A173" s="262"/>
      <c r="B173" s="262"/>
      <c r="C173" s="257"/>
      <c r="D173" s="257"/>
      <c r="E173" s="256"/>
      <c r="F173" s="257"/>
      <c r="G173" s="257"/>
      <c r="H173" s="257"/>
      <c r="I173" s="2723"/>
      <c r="J173" s="2723"/>
      <c r="K173" s="257" t="s">
        <v>941</v>
      </c>
    </row>
    <row r="174" spans="1:11">
      <c r="A174" s="262"/>
      <c r="B174" s="262"/>
      <c r="C174" s="257"/>
      <c r="D174" s="257"/>
      <c r="E174" s="256"/>
      <c r="F174" s="257"/>
      <c r="G174" s="257"/>
      <c r="H174" s="257"/>
      <c r="I174" s="2723"/>
      <c r="J174" s="2723"/>
      <c r="K174" s="257" t="s">
        <v>942</v>
      </c>
    </row>
    <row r="175" spans="1:11" ht="31.5">
      <c r="A175" s="262"/>
      <c r="B175" s="262"/>
      <c r="C175" s="257"/>
      <c r="D175" s="257"/>
      <c r="E175" s="256"/>
      <c r="F175" s="257"/>
      <c r="G175" s="257"/>
      <c r="H175" s="257"/>
      <c r="I175" s="2723"/>
      <c r="J175" s="2723"/>
      <c r="K175" s="257" t="s">
        <v>943</v>
      </c>
    </row>
    <row r="176" spans="1:11">
      <c r="A176" s="262"/>
      <c r="B176" s="262"/>
      <c r="C176" s="257"/>
      <c r="D176" s="257"/>
      <c r="E176" s="256"/>
      <c r="F176" s="257"/>
      <c r="G176" s="257"/>
      <c r="H176" s="257"/>
      <c r="I176" s="2723"/>
      <c r="J176" s="2723"/>
      <c r="K176" s="257" t="s">
        <v>944</v>
      </c>
    </row>
    <row r="177" spans="1:11" ht="31.5">
      <c r="A177" s="262"/>
      <c r="B177" s="262"/>
      <c r="C177" s="257"/>
      <c r="D177" s="257"/>
      <c r="E177" s="256"/>
      <c r="F177" s="257"/>
      <c r="G177" s="257"/>
      <c r="H177" s="257"/>
      <c r="I177" s="2723"/>
      <c r="J177" s="2723"/>
      <c r="K177" s="257" t="s">
        <v>945</v>
      </c>
    </row>
    <row r="178" spans="1:11" ht="31.5">
      <c r="A178" s="262"/>
      <c r="B178" s="262"/>
      <c r="C178" s="257"/>
      <c r="D178" s="257"/>
      <c r="E178" s="256"/>
      <c r="F178" s="257"/>
      <c r="G178" s="257"/>
      <c r="H178" s="257"/>
      <c r="I178" s="2723"/>
      <c r="J178" s="2723"/>
      <c r="K178" s="257" t="s">
        <v>946</v>
      </c>
    </row>
    <row r="179" spans="1:11" ht="31.5">
      <c r="A179" s="262"/>
      <c r="B179" s="262"/>
      <c r="C179" s="257"/>
      <c r="D179" s="257"/>
      <c r="E179" s="256"/>
      <c r="F179" s="257"/>
      <c r="G179" s="257"/>
      <c r="H179" s="257"/>
      <c r="I179" s="2723"/>
      <c r="J179" s="2723"/>
      <c r="K179" s="257" t="s">
        <v>947</v>
      </c>
    </row>
    <row r="180" spans="1:11">
      <c r="A180" s="262"/>
      <c r="B180" s="262"/>
      <c r="C180" s="257"/>
      <c r="D180" s="257"/>
      <c r="E180" s="256"/>
      <c r="F180" s="257"/>
      <c r="G180" s="257"/>
      <c r="H180" s="257"/>
      <c r="I180" s="2723"/>
      <c r="J180" s="2723"/>
      <c r="K180" s="257" t="s">
        <v>948</v>
      </c>
    </row>
    <row r="181" spans="1:11" ht="31.5">
      <c r="A181" s="262"/>
      <c r="B181" s="262"/>
      <c r="C181" s="257"/>
      <c r="D181" s="257"/>
      <c r="E181" s="256"/>
      <c r="F181" s="257"/>
      <c r="G181" s="257"/>
      <c r="H181" s="257"/>
      <c r="I181" s="2723"/>
      <c r="J181" s="2723"/>
      <c r="K181" s="257" t="s">
        <v>949</v>
      </c>
    </row>
    <row r="182" spans="1:11">
      <c r="A182" s="262"/>
      <c r="B182" s="262"/>
      <c r="C182" s="257"/>
      <c r="D182" s="257"/>
      <c r="E182" s="256"/>
      <c r="F182" s="257"/>
      <c r="G182" s="257"/>
      <c r="H182" s="257"/>
      <c r="I182" s="2723"/>
      <c r="J182" s="2723"/>
      <c r="K182" s="257" t="s">
        <v>950</v>
      </c>
    </row>
    <row r="183" spans="1:11" ht="31.5">
      <c r="A183" s="262"/>
      <c r="B183" s="262"/>
      <c r="C183" s="257"/>
      <c r="D183" s="257"/>
      <c r="E183" s="256"/>
      <c r="F183" s="257"/>
      <c r="G183" s="257"/>
      <c r="H183" s="257"/>
      <c r="I183" s="2723"/>
      <c r="J183" s="2723"/>
      <c r="K183" s="257" t="s">
        <v>951</v>
      </c>
    </row>
    <row r="184" spans="1:11">
      <c r="A184" s="262"/>
      <c r="B184" s="262"/>
      <c r="C184" s="257"/>
      <c r="D184" s="257"/>
      <c r="E184" s="256"/>
      <c r="F184" s="257"/>
      <c r="G184" s="257"/>
      <c r="H184" s="257"/>
      <c r="I184" s="2723"/>
      <c r="J184" s="2723"/>
      <c r="K184" s="257" t="s">
        <v>952</v>
      </c>
    </row>
    <row r="185" spans="1:11" ht="31.5">
      <c r="A185" s="262"/>
      <c r="B185" s="262"/>
      <c r="C185" s="257"/>
      <c r="D185" s="257"/>
      <c r="E185" s="256"/>
      <c r="F185" s="257"/>
      <c r="G185" s="257"/>
      <c r="H185" s="257"/>
      <c r="I185" s="2723"/>
      <c r="J185" s="2723"/>
      <c r="K185" s="257" t="s">
        <v>953</v>
      </c>
    </row>
    <row r="186" spans="1:11">
      <c r="A186" s="262"/>
      <c r="B186" s="262"/>
      <c r="C186" s="257"/>
      <c r="D186" s="257"/>
      <c r="E186" s="256"/>
      <c r="F186" s="257"/>
      <c r="G186" s="257"/>
      <c r="H186" s="257"/>
      <c r="I186" s="2723"/>
      <c r="J186" s="2723"/>
      <c r="K186" s="257" t="s">
        <v>954</v>
      </c>
    </row>
    <row r="187" spans="1:11">
      <c r="A187" s="262"/>
      <c r="B187" s="262"/>
      <c r="C187" s="257"/>
      <c r="D187" s="257"/>
      <c r="E187" s="256"/>
      <c r="F187" s="257"/>
      <c r="G187" s="257"/>
      <c r="H187" s="257"/>
      <c r="I187" s="257"/>
      <c r="J187" s="257"/>
      <c r="K187" s="257"/>
    </row>
    <row r="188" spans="1:11" ht="31.5">
      <c r="A188" s="261">
        <v>29</v>
      </c>
      <c r="B188" s="261" t="s">
        <v>519</v>
      </c>
      <c r="C188" s="257" t="s">
        <v>955</v>
      </c>
      <c r="D188" s="257" t="s">
        <v>956</v>
      </c>
      <c r="E188" s="256">
        <v>886</v>
      </c>
      <c r="F188" s="257"/>
      <c r="G188" s="257"/>
      <c r="H188" s="257">
        <v>886</v>
      </c>
      <c r="I188" s="2723" t="s">
        <v>793</v>
      </c>
      <c r="J188" s="2723">
        <v>1051</v>
      </c>
      <c r="K188" s="257" t="s">
        <v>957</v>
      </c>
    </row>
    <row r="189" spans="1:11" ht="31.5">
      <c r="A189" s="262"/>
      <c r="B189" s="262"/>
      <c r="C189" s="257" t="s">
        <v>958</v>
      </c>
      <c r="D189" s="257" t="s">
        <v>959</v>
      </c>
      <c r="E189" s="256">
        <v>66</v>
      </c>
      <c r="F189" s="257"/>
      <c r="G189" s="257"/>
      <c r="H189" s="257">
        <v>66</v>
      </c>
      <c r="I189" s="2723"/>
      <c r="J189" s="2723"/>
      <c r="K189" s="257" t="s">
        <v>960</v>
      </c>
    </row>
    <row r="190" spans="1:11" ht="31.5">
      <c r="A190" s="262"/>
      <c r="B190" s="262"/>
      <c r="C190" s="257" t="s">
        <v>961</v>
      </c>
      <c r="D190" s="257" t="s">
        <v>669</v>
      </c>
      <c r="E190" s="256">
        <v>70</v>
      </c>
      <c r="F190" s="257"/>
      <c r="G190" s="257"/>
      <c r="H190" s="257">
        <v>70</v>
      </c>
      <c r="I190" s="2723"/>
      <c r="J190" s="2723"/>
      <c r="K190" s="257" t="s">
        <v>962</v>
      </c>
    </row>
    <row r="191" spans="1:11">
      <c r="A191" s="262"/>
      <c r="B191" s="262"/>
      <c r="C191" s="257" t="s">
        <v>963</v>
      </c>
      <c r="D191" s="257"/>
      <c r="E191" s="256">
        <v>35</v>
      </c>
      <c r="F191" s="257"/>
      <c r="G191" s="257"/>
      <c r="H191" s="257">
        <v>35</v>
      </c>
      <c r="I191" s="2723"/>
      <c r="J191" s="2723"/>
      <c r="K191" s="257" t="s">
        <v>964</v>
      </c>
    </row>
    <row r="192" spans="1:11">
      <c r="A192" s="262"/>
      <c r="B192" s="262"/>
      <c r="C192" s="257" t="s">
        <v>965</v>
      </c>
      <c r="D192" s="257"/>
      <c r="E192" s="256"/>
      <c r="F192" s="257"/>
      <c r="G192" s="257"/>
      <c r="H192" s="257"/>
      <c r="I192" s="2723"/>
      <c r="J192" s="2723"/>
      <c r="K192" s="257"/>
    </row>
    <row r="193" spans="1:11">
      <c r="A193" s="262"/>
      <c r="B193" s="262"/>
      <c r="C193" s="257"/>
      <c r="D193" s="257"/>
      <c r="E193" s="256"/>
      <c r="F193" s="257"/>
      <c r="G193" s="257"/>
      <c r="H193" s="257"/>
      <c r="I193" s="257"/>
      <c r="J193" s="257"/>
      <c r="K193" s="257"/>
    </row>
    <row r="194" spans="1:11">
      <c r="A194" s="261">
        <v>30</v>
      </c>
      <c r="B194" s="261" t="s">
        <v>966</v>
      </c>
      <c r="C194" s="257" t="s">
        <v>967</v>
      </c>
      <c r="D194" s="257" t="s">
        <v>968</v>
      </c>
      <c r="E194" s="256">
        <v>886</v>
      </c>
      <c r="F194" s="257"/>
      <c r="G194" s="257"/>
      <c r="H194" s="257">
        <v>886</v>
      </c>
      <c r="I194" s="257"/>
      <c r="J194" s="257">
        <v>886</v>
      </c>
      <c r="K194" s="257" t="s">
        <v>832</v>
      </c>
    </row>
    <row r="195" spans="1:11" ht="31.5">
      <c r="A195" s="262"/>
      <c r="B195" s="262"/>
      <c r="C195" s="257" t="s">
        <v>969</v>
      </c>
      <c r="D195" s="257" t="s">
        <v>970</v>
      </c>
      <c r="E195" s="256"/>
      <c r="F195" s="257"/>
      <c r="G195" s="257"/>
      <c r="H195" s="257"/>
      <c r="I195" s="257"/>
      <c r="J195" s="257"/>
      <c r="K195" s="257"/>
    </row>
    <row r="196" spans="1:11">
      <c r="A196" s="262"/>
      <c r="B196" s="262"/>
      <c r="C196" s="257" t="s">
        <v>971</v>
      </c>
      <c r="D196" s="257" t="s">
        <v>971</v>
      </c>
      <c r="E196" s="257"/>
      <c r="F196" s="257"/>
      <c r="G196" s="257"/>
      <c r="H196" s="257"/>
      <c r="I196" s="257"/>
      <c r="J196" s="257"/>
      <c r="K196" s="257"/>
    </row>
    <row r="197" spans="1:11">
      <c r="A197" s="262"/>
      <c r="B197" s="262"/>
      <c r="C197" s="257" t="s">
        <v>972</v>
      </c>
      <c r="D197" s="257" t="s">
        <v>972</v>
      </c>
      <c r="E197" s="257"/>
      <c r="F197" s="257"/>
      <c r="G197" s="257"/>
      <c r="H197" s="257"/>
      <c r="I197" s="257"/>
      <c r="J197" s="257"/>
      <c r="K197" s="257"/>
    </row>
    <row r="198" spans="1:11">
      <c r="A198" s="257"/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</row>
    <row r="199" spans="1:11" ht="31.5">
      <c r="A199" s="257">
        <v>31</v>
      </c>
      <c r="B199" s="257" t="s">
        <v>661</v>
      </c>
      <c r="C199" s="262" t="s">
        <v>973</v>
      </c>
      <c r="D199" s="257" t="s">
        <v>974</v>
      </c>
      <c r="E199" s="257">
        <v>886</v>
      </c>
      <c r="F199" s="257"/>
      <c r="G199" s="257"/>
      <c r="H199" s="257">
        <v>886</v>
      </c>
      <c r="I199" s="257"/>
      <c r="J199" s="257">
        <v>886</v>
      </c>
      <c r="K199" s="262"/>
    </row>
    <row r="200" spans="1:11">
      <c r="A200" s="257"/>
      <c r="B200" s="257"/>
      <c r="C200" s="257" t="s">
        <v>639</v>
      </c>
      <c r="D200" s="257"/>
      <c r="E200" s="257"/>
      <c r="F200" s="257"/>
      <c r="G200" s="257"/>
      <c r="H200" s="257"/>
      <c r="I200" s="257"/>
      <c r="J200" s="257"/>
      <c r="K200" s="262"/>
    </row>
    <row r="201" spans="1:11">
      <c r="A201" s="257"/>
      <c r="B201" s="257"/>
      <c r="C201" s="257"/>
      <c r="D201" s="257"/>
      <c r="E201" s="257"/>
      <c r="F201" s="257"/>
      <c r="G201" s="257"/>
      <c r="H201" s="257"/>
      <c r="I201" s="257"/>
      <c r="J201" s="257"/>
      <c r="K201" s="262"/>
    </row>
    <row r="202" spans="1:11">
      <c r="A202" s="257">
        <v>32</v>
      </c>
      <c r="B202" s="257" t="s">
        <v>488</v>
      </c>
      <c r="C202" s="257" t="s">
        <v>975</v>
      </c>
      <c r="D202" s="257" t="s">
        <v>634</v>
      </c>
      <c r="E202" s="257">
        <v>886</v>
      </c>
      <c r="F202" s="257"/>
      <c r="G202" s="257"/>
      <c r="H202" s="257">
        <v>886</v>
      </c>
      <c r="I202" s="257"/>
      <c r="J202" s="257">
        <v>886</v>
      </c>
      <c r="K202" s="257" t="s">
        <v>976</v>
      </c>
    </row>
    <row r="203" spans="1:11" ht="31.5">
      <c r="A203" s="257"/>
      <c r="B203" s="257"/>
      <c r="C203" s="257" t="s">
        <v>639</v>
      </c>
      <c r="D203" s="257"/>
      <c r="E203" s="257"/>
      <c r="F203" s="257"/>
      <c r="G203" s="257"/>
      <c r="H203" s="257"/>
      <c r="I203" s="257"/>
      <c r="J203" s="257"/>
      <c r="K203" s="257" t="s">
        <v>977</v>
      </c>
    </row>
    <row r="204" spans="1:11">
      <c r="A204" s="257"/>
      <c r="B204" s="257"/>
      <c r="C204" s="257"/>
      <c r="D204" s="257"/>
      <c r="E204" s="257"/>
      <c r="F204" s="257"/>
      <c r="G204" s="257"/>
      <c r="H204" s="257"/>
      <c r="I204" s="257"/>
      <c r="J204" s="257"/>
      <c r="K204" s="257" t="s">
        <v>978</v>
      </c>
    </row>
    <row r="205" spans="1:11" ht="31.5">
      <c r="A205" s="257"/>
      <c r="B205" s="257"/>
      <c r="C205" s="257"/>
      <c r="D205" s="257"/>
      <c r="E205" s="257"/>
      <c r="F205" s="257"/>
      <c r="G205" s="257"/>
      <c r="H205" s="257"/>
      <c r="I205" s="257"/>
      <c r="J205" s="257"/>
      <c r="K205" s="257" t="s">
        <v>979</v>
      </c>
    </row>
    <row r="206" spans="1:11">
      <c r="A206" s="257"/>
      <c r="B206" s="257"/>
      <c r="C206" s="257"/>
      <c r="D206" s="257"/>
      <c r="E206" s="257"/>
      <c r="F206" s="257"/>
      <c r="G206" s="257"/>
      <c r="H206" s="257"/>
      <c r="I206" s="257"/>
      <c r="J206" s="257"/>
      <c r="K206" s="257" t="s">
        <v>980</v>
      </c>
    </row>
    <row r="207" spans="1:11">
      <c r="A207" s="257"/>
      <c r="B207" s="257"/>
      <c r="C207" s="257"/>
      <c r="D207" s="257"/>
      <c r="E207" s="257"/>
      <c r="F207" s="257"/>
      <c r="G207" s="257"/>
      <c r="H207" s="257"/>
      <c r="I207" s="257"/>
      <c r="J207" s="257"/>
      <c r="K207" s="262"/>
    </row>
    <row r="208" spans="1:11">
      <c r="A208" s="257"/>
      <c r="B208" s="257"/>
      <c r="C208" s="257"/>
      <c r="D208" s="257"/>
      <c r="E208" s="257"/>
      <c r="F208" s="257"/>
      <c r="G208" s="257"/>
      <c r="H208" s="257"/>
      <c r="I208" s="257"/>
      <c r="J208" s="257"/>
      <c r="K208" s="262"/>
    </row>
    <row r="209" spans="1:11">
      <c r="A209" s="2727" t="s">
        <v>981</v>
      </c>
      <c r="B209" s="2727"/>
      <c r="C209" s="2727"/>
      <c r="D209" s="257"/>
      <c r="E209" s="272">
        <f>SUM(E5:E208)</f>
        <v>42803.130000000005</v>
      </c>
      <c r="F209" s="272">
        <f>SUM(F5:F202)</f>
        <v>12587.380000000001</v>
      </c>
      <c r="G209" s="272">
        <f>SUM(G5:G202)</f>
        <v>1231.4000000000001</v>
      </c>
      <c r="H209" s="272">
        <f>SUM(H5:H202)</f>
        <v>41571.730000000003</v>
      </c>
      <c r="I209" s="272">
        <f>SUM(I5:I202)</f>
        <v>11538.030000000002</v>
      </c>
      <c r="J209" s="272">
        <f>SUM(J5:J202)</f>
        <v>30028.04</v>
      </c>
      <c r="K209" s="257"/>
    </row>
    <row r="210" spans="1:11">
      <c r="A210" s="250"/>
      <c r="B210" s="250"/>
      <c r="C210" s="250" t="s">
        <v>982</v>
      </c>
      <c r="D210" s="257"/>
      <c r="E210" s="272">
        <f>(0.2*E209)</f>
        <v>8560.626000000002</v>
      </c>
      <c r="F210" s="272"/>
      <c r="G210" s="272"/>
      <c r="H210" s="272"/>
      <c r="I210" s="272"/>
      <c r="J210" s="272"/>
      <c r="K210" s="257"/>
    </row>
    <row r="211" spans="1:11">
      <c r="A211" s="250"/>
      <c r="B211" s="250"/>
      <c r="C211" s="250" t="s">
        <v>393</v>
      </c>
      <c r="D211" s="257"/>
      <c r="E211" s="272">
        <f t="shared" ref="E211:J211" si="0">SUM(E209+E210)</f>
        <v>51363.756000000008</v>
      </c>
      <c r="F211" s="272">
        <f t="shared" si="0"/>
        <v>12587.380000000001</v>
      </c>
      <c r="G211" s="272">
        <f t="shared" si="0"/>
        <v>1231.4000000000001</v>
      </c>
      <c r="H211" s="272">
        <f t="shared" si="0"/>
        <v>41571.730000000003</v>
      </c>
      <c r="I211" s="272">
        <f t="shared" si="0"/>
        <v>11538.030000000002</v>
      </c>
      <c r="J211" s="272">
        <f t="shared" si="0"/>
        <v>30028.04</v>
      </c>
      <c r="K211" s="257"/>
    </row>
    <row r="212" spans="1:11">
      <c r="A212" s="273"/>
      <c r="B212" s="273"/>
      <c r="C212" s="273"/>
      <c r="F212" s="274"/>
    </row>
    <row r="213" spans="1:11">
      <c r="A213" s="2728" t="s">
        <v>983</v>
      </c>
      <c r="B213" s="2728"/>
      <c r="C213" s="2728"/>
      <c r="D213" s="2728"/>
      <c r="E213" s="2728"/>
      <c r="F213" s="2728"/>
      <c r="G213" s="2728"/>
      <c r="H213" s="2728"/>
      <c r="I213" s="2728"/>
      <c r="J213" s="2728"/>
      <c r="K213" s="2728"/>
    </row>
    <row r="214" spans="1:11" ht="31.5">
      <c r="A214" s="275"/>
      <c r="B214" s="275"/>
      <c r="C214" s="273" t="s">
        <v>984</v>
      </c>
      <c r="D214" s="273"/>
      <c r="E214" s="273"/>
      <c r="F214" s="273"/>
      <c r="G214" s="276"/>
      <c r="H214" s="276"/>
    </row>
    <row r="215" spans="1:11" ht="31.5">
      <c r="A215" s="273">
        <v>1</v>
      </c>
      <c r="B215" s="273"/>
      <c r="C215" s="273" t="s">
        <v>985</v>
      </c>
      <c r="D215" s="273"/>
      <c r="E215" s="273"/>
      <c r="F215" s="273"/>
      <c r="G215" s="273"/>
      <c r="H215" s="273"/>
    </row>
    <row r="216" spans="1:11" ht="47.25">
      <c r="A216" s="273">
        <v>2</v>
      </c>
      <c r="B216" s="273"/>
      <c r="C216" s="273" t="s">
        <v>986</v>
      </c>
      <c r="D216" s="273"/>
      <c r="E216" s="273"/>
      <c r="F216" s="273"/>
      <c r="G216" s="273"/>
      <c r="H216" s="273"/>
    </row>
    <row r="217" spans="1:11" ht="47.25">
      <c r="A217" s="273">
        <v>3</v>
      </c>
      <c r="B217" s="273"/>
      <c r="C217" s="273" t="s">
        <v>987</v>
      </c>
      <c r="D217" s="273"/>
      <c r="E217" s="273"/>
      <c r="F217" s="273"/>
      <c r="G217" s="273"/>
      <c r="H217" s="273"/>
    </row>
    <row r="218" spans="1:11" ht="63">
      <c r="A218" s="273">
        <v>4</v>
      </c>
      <c r="B218" s="273"/>
      <c r="C218" s="273" t="s">
        <v>988</v>
      </c>
      <c r="D218" s="273"/>
      <c r="E218" s="273"/>
      <c r="F218" s="273"/>
      <c r="G218" s="273"/>
      <c r="H218" s="273"/>
    </row>
    <row r="219" spans="1:11" ht="31.5">
      <c r="A219" s="273" t="s">
        <v>989</v>
      </c>
      <c r="B219" s="273"/>
      <c r="C219" s="273" t="s">
        <v>990</v>
      </c>
      <c r="D219" s="273"/>
      <c r="E219" s="273"/>
      <c r="F219" s="273"/>
      <c r="G219" s="273"/>
      <c r="H219" s="273"/>
    </row>
    <row r="221" spans="1:11">
      <c r="A221" s="2727" t="s">
        <v>195</v>
      </c>
      <c r="B221" s="2727"/>
      <c r="C221" s="2727"/>
      <c r="D221" s="2727"/>
      <c r="E221" s="2727"/>
      <c r="F221" s="2727"/>
      <c r="G221" s="2727"/>
      <c r="H221" s="2727"/>
      <c r="I221" s="2727"/>
      <c r="J221" s="2727"/>
      <c r="K221" s="2723"/>
    </row>
    <row r="222" spans="1:11" ht="31.5">
      <c r="A222" s="257">
        <v>1</v>
      </c>
      <c r="B222" s="257" t="s">
        <v>488</v>
      </c>
      <c r="C222" s="257" t="s">
        <v>991</v>
      </c>
      <c r="D222" s="257" t="s">
        <v>992</v>
      </c>
      <c r="E222" s="257">
        <v>71</v>
      </c>
      <c r="F222" s="257"/>
      <c r="G222" s="257"/>
      <c r="H222" s="257">
        <v>71</v>
      </c>
      <c r="I222" s="257"/>
      <c r="J222" s="257">
        <v>71</v>
      </c>
      <c r="K222" s="257"/>
    </row>
    <row r="223" spans="1:11" ht="31.5">
      <c r="A223" s="250"/>
      <c r="B223" s="257"/>
      <c r="C223" s="257" t="s">
        <v>993</v>
      </c>
      <c r="D223" s="257"/>
      <c r="E223" s="257"/>
      <c r="F223" s="257"/>
      <c r="G223" s="257"/>
      <c r="H223" s="257"/>
      <c r="I223" s="257"/>
      <c r="J223" s="257"/>
      <c r="K223" s="257"/>
    </row>
    <row r="224" spans="1:11">
      <c r="A224" s="250"/>
      <c r="B224" s="257"/>
      <c r="C224" s="257"/>
      <c r="D224" s="257"/>
      <c r="E224" s="257"/>
      <c r="F224" s="257"/>
      <c r="G224" s="257"/>
      <c r="H224" s="257"/>
      <c r="I224" s="257"/>
      <c r="J224" s="257"/>
      <c r="K224" s="257"/>
    </row>
    <row r="225" spans="1:11">
      <c r="A225" s="250"/>
      <c r="B225" s="250"/>
      <c r="C225" s="257" t="s">
        <v>994</v>
      </c>
      <c r="D225" s="250"/>
      <c r="E225" s="257"/>
      <c r="F225" s="250"/>
      <c r="G225" s="250"/>
      <c r="H225" s="250"/>
      <c r="I225" s="250"/>
      <c r="J225" s="250"/>
      <c r="K225" s="257"/>
    </row>
    <row r="226" spans="1:11" ht="31.5">
      <c r="A226" s="253">
        <v>2</v>
      </c>
      <c r="B226" s="253" t="s">
        <v>469</v>
      </c>
      <c r="C226" s="253" t="s">
        <v>995</v>
      </c>
      <c r="D226" s="253" t="s">
        <v>996</v>
      </c>
      <c r="E226" s="253"/>
      <c r="F226" s="253"/>
      <c r="G226" s="253"/>
      <c r="H226" s="253"/>
      <c r="I226" s="253"/>
      <c r="J226" s="253"/>
      <c r="K226" s="253" t="s">
        <v>997</v>
      </c>
    </row>
    <row r="227" spans="1:11">
      <c r="A227" s="253"/>
      <c r="B227" s="253"/>
      <c r="C227" s="253" t="s">
        <v>998</v>
      </c>
      <c r="D227" s="253" t="s">
        <v>999</v>
      </c>
      <c r="E227" s="253"/>
      <c r="F227" s="253"/>
      <c r="G227" s="253"/>
      <c r="H227" s="253"/>
      <c r="I227" s="253"/>
      <c r="J227" s="253"/>
      <c r="K227" s="253" t="s">
        <v>1000</v>
      </c>
    </row>
    <row r="228" spans="1:11" ht="31.5">
      <c r="A228" s="253"/>
      <c r="B228" s="253"/>
      <c r="C228" s="253"/>
      <c r="D228" s="253" t="s">
        <v>1001</v>
      </c>
      <c r="E228" s="253"/>
      <c r="F228" s="253"/>
      <c r="G228" s="253"/>
      <c r="H228" s="253"/>
      <c r="I228" s="253"/>
      <c r="J228" s="253"/>
      <c r="K228" s="253" t="s">
        <v>1002</v>
      </c>
    </row>
    <row r="229" spans="1:11">
      <c r="A229" s="253"/>
      <c r="B229" s="253"/>
      <c r="C229" s="253"/>
      <c r="D229" s="253"/>
      <c r="E229" s="253"/>
      <c r="F229" s="253"/>
      <c r="G229" s="253"/>
      <c r="H229" s="253"/>
      <c r="I229" s="253"/>
      <c r="J229" s="253"/>
      <c r="K229" s="253" t="s">
        <v>0</v>
      </c>
    </row>
    <row r="230" spans="1:11">
      <c r="A230" s="253"/>
      <c r="B230" s="253"/>
      <c r="C230" s="253"/>
      <c r="D230" s="253"/>
      <c r="E230" s="253"/>
      <c r="F230" s="253"/>
      <c r="G230" s="253"/>
      <c r="H230" s="253"/>
      <c r="I230" s="253"/>
      <c r="J230" s="253"/>
      <c r="K230" s="253"/>
    </row>
    <row r="231" spans="1:11" ht="31.5">
      <c r="A231" s="253">
        <v>3</v>
      </c>
      <c r="B231" s="253" t="s">
        <v>488</v>
      </c>
      <c r="C231" s="253" t="s">
        <v>1</v>
      </c>
      <c r="D231" s="253" t="s">
        <v>2</v>
      </c>
      <c r="E231" s="253"/>
      <c r="F231" s="253"/>
      <c r="G231" s="253"/>
      <c r="H231" s="253"/>
      <c r="I231" s="253"/>
      <c r="J231" s="253"/>
      <c r="K231" s="253" t="s">
        <v>3</v>
      </c>
    </row>
    <row r="232" spans="1:11" ht="31.5">
      <c r="A232" s="253"/>
      <c r="B232" s="253"/>
      <c r="C232" s="253" t="s">
        <v>4</v>
      </c>
      <c r="D232" s="253" t="s">
        <v>5</v>
      </c>
      <c r="E232" s="253"/>
      <c r="F232" s="253"/>
      <c r="G232" s="253"/>
      <c r="H232" s="253"/>
      <c r="I232" s="253"/>
      <c r="J232" s="253"/>
      <c r="K232" s="253" t="s">
        <v>6</v>
      </c>
    </row>
    <row r="233" spans="1:11" ht="31.5">
      <c r="A233" s="253"/>
      <c r="B233" s="253"/>
      <c r="C233" s="253"/>
      <c r="D233" s="253" t="s">
        <v>7</v>
      </c>
      <c r="E233" s="253"/>
      <c r="F233" s="253"/>
      <c r="G233" s="253"/>
      <c r="H233" s="253"/>
      <c r="I233" s="253"/>
      <c r="J233" s="253"/>
      <c r="K233" s="253" t="s">
        <v>8</v>
      </c>
    </row>
    <row r="234" spans="1:11" ht="31.5">
      <c r="A234" s="253"/>
      <c r="B234" s="253"/>
      <c r="C234" s="253"/>
      <c r="D234" s="253"/>
      <c r="E234" s="253"/>
      <c r="F234" s="253"/>
      <c r="G234" s="253"/>
      <c r="H234" s="253"/>
      <c r="I234" s="253"/>
      <c r="J234" s="253"/>
      <c r="K234" s="253" t="s">
        <v>9</v>
      </c>
    </row>
    <row r="235" spans="1:11">
      <c r="A235" s="253"/>
      <c r="B235" s="253"/>
      <c r="C235" s="253"/>
      <c r="D235" s="253"/>
      <c r="E235" s="253"/>
      <c r="F235" s="253"/>
      <c r="G235" s="253"/>
      <c r="H235" s="253"/>
      <c r="I235" s="253"/>
      <c r="J235" s="253"/>
      <c r="K235" s="253" t="s">
        <v>10</v>
      </c>
    </row>
    <row r="236" spans="1:11" ht="31.5">
      <c r="A236" s="253"/>
      <c r="B236" s="253"/>
      <c r="C236" s="253"/>
      <c r="D236" s="253"/>
      <c r="E236" s="253"/>
      <c r="F236" s="253"/>
      <c r="G236" s="253"/>
      <c r="H236" s="253"/>
      <c r="I236" s="253"/>
      <c r="J236" s="253"/>
      <c r="K236" s="253" t="s">
        <v>11</v>
      </c>
    </row>
    <row r="237" spans="1:11" ht="31.5">
      <c r="A237" s="253"/>
      <c r="B237" s="253"/>
      <c r="C237" s="253"/>
      <c r="D237" s="253"/>
      <c r="E237" s="253"/>
      <c r="F237" s="253"/>
      <c r="G237" s="253"/>
      <c r="H237" s="253"/>
      <c r="I237" s="253"/>
      <c r="J237" s="253"/>
      <c r="K237" s="253" t="s">
        <v>12</v>
      </c>
    </row>
    <row r="238" spans="1:11">
      <c r="A238" s="253"/>
      <c r="B238" s="253"/>
      <c r="C238" s="253"/>
      <c r="D238" s="253"/>
      <c r="E238" s="253"/>
      <c r="F238" s="253"/>
      <c r="G238" s="253"/>
      <c r="H238" s="253"/>
      <c r="I238" s="253"/>
      <c r="J238" s="253"/>
      <c r="K238" s="253" t="s">
        <v>13</v>
      </c>
    </row>
    <row r="239" spans="1:11">
      <c r="A239" s="253"/>
      <c r="B239" s="253"/>
      <c r="C239" s="253"/>
      <c r="D239" s="253"/>
      <c r="E239" s="253"/>
      <c r="F239" s="253"/>
      <c r="G239" s="253"/>
      <c r="H239" s="253"/>
      <c r="I239" s="253"/>
      <c r="J239" s="253"/>
      <c r="K239" s="257"/>
    </row>
    <row r="240" spans="1:11" ht="31.5">
      <c r="A240" s="253">
        <v>4</v>
      </c>
      <c r="B240" s="253" t="s">
        <v>469</v>
      </c>
      <c r="C240" s="253" t="s">
        <v>14</v>
      </c>
      <c r="D240" s="253" t="s">
        <v>15</v>
      </c>
      <c r="E240" s="253">
        <v>185</v>
      </c>
      <c r="F240" s="253">
        <v>393.74</v>
      </c>
      <c r="G240" s="253">
        <v>0</v>
      </c>
      <c r="H240" s="253">
        <v>185</v>
      </c>
      <c r="I240" s="253">
        <v>185</v>
      </c>
      <c r="J240" s="253"/>
      <c r="K240" s="257"/>
    </row>
    <row r="241" spans="1:11">
      <c r="A241" s="253"/>
      <c r="B241" s="253"/>
      <c r="C241" s="253" t="s">
        <v>16</v>
      </c>
      <c r="D241" s="253"/>
      <c r="E241" s="253"/>
      <c r="F241" s="253"/>
      <c r="G241" s="253"/>
      <c r="H241" s="253"/>
      <c r="I241" s="253"/>
      <c r="J241" s="253"/>
      <c r="K241" s="257"/>
    </row>
    <row r="242" spans="1:11">
      <c r="A242" s="253"/>
      <c r="B242" s="253"/>
      <c r="C242" s="253" t="s">
        <v>17</v>
      </c>
      <c r="D242" s="253"/>
      <c r="E242" s="253"/>
      <c r="F242" s="253"/>
      <c r="G242" s="253"/>
      <c r="H242" s="253"/>
      <c r="I242" s="253"/>
      <c r="J242" s="253"/>
      <c r="K242" s="257"/>
    </row>
    <row r="243" spans="1:11">
      <c r="A243" s="253"/>
      <c r="B243" s="253"/>
      <c r="C243" s="253"/>
      <c r="D243" s="253"/>
      <c r="E243" s="253"/>
      <c r="F243" s="253"/>
      <c r="G243" s="253"/>
      <c r="H243" s="253"/>
      <c r="I243" s="253"/>
      <c r="J243" s="253"/>
      <c r="K243" s="253"/>
    </row>
    <row r="244" spans="1:11" ht="31.5">
      <c r="A244" s="277">
        <f>A240+1</f>
        <v>5</v>
      </c>
      <c r="B244" s="277" t="s">
        <v>469</v>
      </c>
      <c r="C244" s="277" t="s">
        <v>18</v>
      </c>
      <c r="D244" s="277" t="s">
        <v>19</v>
      </c>
      <c r="E244" s="277">
        <v>180</v>
      </c>
      <c r="F244" s="277"/>
      <c r="G244" s="277"/>
      <c r="H244" s="277">
        <v>180</v>
      </c>
      <c r="I244" s="277"/>
      <c r="J244" s="277">
        <v>180</v>
      </c>
      <c r="K244" s="277" t="s">
        <v>20</v>
      </c>
    </row>
    <row r="245" spans="1:11" ht="31.5">
      <c r="A245" s="277"/>
      <c r="B245" s="277"/>
      <c r="C245" s="277" t="s">
        <v>21</v>
      </c>
      <c r="D245" s="277"/>
      <c r="E245" s="277"/>
      <c r="F245" s="277"/>
      <c r="G245" s="277"/>
      <c r="H245" s="277"/>
      <c r="I245" s="277"/>
      <c r="J245" s="253"/>
      <c r="K245" s="253"/>
    </row>
    <row r="246" spans="1:11">
      <c r="A246" s="277"/>
      <c r="B246" s="277"/>
      <c r="C246" s="277" t="s">
        <v>22</v>
      </c>
      <c r="D246" s="277"/>
      <c r="E246" s="277"/>
      <c r="F246" s="277"/>
      <c r="G246" s="277"/>
      <c r="H246" s="277"/>
      <c r="I246" s="277"/>
      <c r="J246" s="277"/>
      <c r="K246" s="253"/>
    </row>
    <row r="247" spans="1:11">
      <c r="A247" s="253"/>
      <c r="B247" s="253"/>
      <c r="C247" s="253"/>
      <c r="D247" s="253"/>
      <c r="E247" s="253"/>
      <c r="F247" s="253"/>
      <c r="G247" s="253"/>
      <c r="H247" s="253"/>
      <c r="I247" s="253"/>
      <c r="J247" s="253"/>
      <c r="K247" s="253"/>
    </row>
    <row r="248" spans="1:11" ht="31.5">
      <c r="A248" s="277">
        <v>6</v>
      </c>
      <c r="B248" s="277" t="s">
        <v>23</v>
      </c>
      <c r="C248" s="277" t="s">
        <v>24</v>
      </c>
      <c r="D248" s="277" t="s">
        <v>25</v>
      </c>
      <c r="E248" s="277">
        <v>190</v>
      </c>
      <c r="F248" s="253"/>
      <c r="G248" s="253"/>
      <c r="H248" s="277">
        <v>190</v>
      </c>
      <c r="I248" s="253"/>
      <c r="J248" s="253">
        <v>190</v>
      </c>
      <c r="K248" s="277" t="s">
        <v>26</v>
      </c>
    </row>
    <row r="249" spans="1:11">
      <c r="A249" s="253" t="s">
        <v>426</v>
      </c>
      <c r="B249" s="277"/>
      <c r="C249" s="277" t="s">
        <v>27</v>
      </c>
      <c r="D249" s="277"/>
      <c r="E249" s="278"/>
      <c r="F249" s="253"/>
      <c r="G249" s="253"/>
      <c r="H249" s="278"/>
      <c r="I249" s="253"/>
      <c r="J249" s="277"/>
      <c r="K249" s="253"/>
    </row>
    <row r="250" spans="1:11">
      <c r="A250" s="253" t="s">
        <v>426</v>
      </c>
      <c r="B250" s="277"/>
      <c r="C250" s="277" t="s">
        <v>28</v>
      </c>
      <c r="D250" s="277"/>
      <c r="E250" s="278"/>
      <c r="F250" s="253"/>
      <c r="G250" s="253"/>
      <c r="H250" s="278"/>
      <c r="I250" s="253"/>
      <c r="J250" s="277"/>
      <c r="K250" s="253"/>
    </row>
    <row r="251" spans="1:11">
      <c r="A251" s="253"/>
      <c r="B251" s="277"/>
      <c r="C251" s="277" t="s">
        <v>29</v>
      </c>
      <c r="D251" s="277" t="s">
        <v>426</v>
      </c>
      <c r="E251" s="278"/>
      <c r="F251" s="253"/>
      <c r="G251" s="253"/>
      <c r="H251" s="278"/>
      <c r="I251" s="253"/>
      <c r="J251" s="277"/>
      <c r="K251" s="253"/>
    </row>
    <row r="252" spans="1:11">
      <c r="A252" s="253"/>
      <c r="B252" s="277"/>
      <c r="C252" s="277" t="s">
        <v>30</v>
      </c>
      <c r="D252" s="277"/>
      <c r="E252" s="278"/>
      <c r="F252" s="253"/>
      <c r="G252" s="253"/>
      <c r="H252" s="278"/>
      <c r="I252" s="253"/>
      <c r="J252" s="277"/>
      <c r="K252" s="253"/>
    </row>
    <row r="253" spans="1:11">
      <c r="A253" s="253"/>
      <c r="B253" s="253"/>
      <c r="C253" s="253"/>
      <c r="D253" s="253"/>
      <c r="E253" s="253"/>
      <c r="F253" s="253"/>
      <c r="G253" s="253"/>
      <c r="H253" s="253"/>
      <c r="I253" s="253"/>
      <c r="J253" s="253"/>
      <c r="K253" s="253"/>
    </row>
    <row r="254" spans="1:11" ht="31.5">
      <c r="A254" s="277">
        <v>7</v>
      </c>
      <c r="B254" s="277" t="s">
        <v>23</v>
      </c>
      <c r="C254" s="277" t="s">
        <v>31</v>
      </c>
      <c r="D254" s="277" t="s">
        <v>32</v>
      </c>
      <c r="E254" s="278">
        <v>185</v>
      </c>
      <c r="F254" s="253"/>
      <c r="G254" s="253"/>
      <c r="H254" s="278">
        <v>185</v>
      </c>
      <c r="I254" s="253"/>
      <c r="J254" s="253">
        <v>185</v>
      </c>
      <c r="K254" s="277" t="s">
        <v>90</v>
      </c>
    </row>
    <row r="255" spans="1:11">
      <c r="A255" s="253" t="s">
        <v>426</v>
      </c>
      <c r="B255" s="277"/>
      <c r="C255" s="277" t="s">
        <v>33</v>
      </c>
      <c r="D255" s="277"/>
      <c r="E255" s="278"/>
      <c r="F255" s="253"/>
      <c r="G255" s="253"/>
      <c r="H255" s="278"/>
      <c r="I255" s="253"/>
      <c r="J255" s="253"/>
      <c r="K255" s="277"/>
    </row>
    <row r="256" spans="1:11">
      <c r="A256" s="253"/>
      <c r="B256" s="277"/>
      <c r="C256" s="277" t="s">
        <v>34</v>
      </c>
      <c r="D256" s="277"/>
      <c r="E256" s="278"/>
      <c r="F256" s="253"/>
      <c r="G256" s="253"/>
      <c r="H256" s="278"/>
      <c r="I256" s="253"/>
      <c r="J256" s="253"/>
      <c r="K256" s="277"/>
    </row>
    <row r="257" spans="1:11">
      <c r="A257" s="253"/>
      <c r="B257" s="277"/>
      <c r="C257" s="277"/>
      <c r="D257" s="277"/>
      <c r="E257" s="278"/>
      <c r="F257" s="253"/>
      <c r="G257" s="253"/>
      <c r="H257" s="257"/>
      <c r="I257" s="257"/>
      <c r="J257" s="257"/>
      <c r="K257" s="257"/>
    </row>
    <row r="258" spans="1:11" ht="31.5">
      <c r="A258" s="277">
        <v>8</v>
      </c>
      <c r="B258" s="277" t="s">
        <v>23</v>
      </c>
      <c r="C258" s="286" t="s">
        <v>35</v>
      </c>
      <c r="D258" s="277" t="s">
        <v>36</v>
      </c>
      <c r="E258" s="277">
        <v>162</v>
      </c>
      <c r="F258" s="257"/>
      <c r="G258" s="257"/>
      <c r="H258" s="277">
        <v>162</v>
      </c>
      <c r="I258" s="253"/>
      <c r="J258" s="253">
        <v>162</v>
      </c>
      <c r="K258" s="277" t="s">
        <v>26</v>
      </c>
    </row>
    <row r="259" spans="1:11">
      <c r="A259" s="257"/>
      <c r="B259" s="257"/>
      <c r="C259" s="257"/>
      <c r="D259" s="257"/>
      <c r="E259" s="257"/>
      <c r="F259" s="257"/>
      <c r="G259" s="257"/>
      <c r="H259" s="257"/>
      <c r="I259" s="257"/>
      <c r="J259" s="257"/>
      <c r="K259" s="257"/>
    </row>
    <row r="260" spans="1:11" ht="31.5">
      <c r="A260" s="277">
        <v>9</v>
      </c>
      <c r="B260" s="277" t="s">
        <v>691</v>
      </c>
      <c r="C260" s="277" t="s">
        <v>37</v>
      </c>
      <c r="D260" s="277" t="s">
        <v>38</v>
      </c>
      <c r="E260" s="279">
        <v>2</v>
      </c>
      <c r="F260" s="279">
        <v>1.67</v>
      </c>
      <c r="G260" s="279">
        <v>0</v>
      </c>
      <c r="H260" s="279">
        <v>2</v>
      </c>
      <c r="I260" s="279">
        <f>SUM((F260-G260),0)</f>
        <v>1.67</v>
      </c>
      <c r="J260" s="253">
        <v>0.33</v>
      </c>
      <c r="K260" s="277" t="s">
        <v>39</v>
      </c>
    </row>
    <row r="261" spans="1:11">
      <c r="A261" s="277"/>
      <c r="B261" s="277"/>
      <c r="C261" s="277" t="s">
        <v>40</v>
      </c>
      <c r="D261" s="277"/>
      <c r="E261" s="279"/>
      <c r="F261" s="257"/>
      <c r="G261" s="257"/>
      <c r="H261" s="257"/>
      <c r="I261" s="257"/>
      <c r="J261" s="257"/>
      <c r="K261" s="257"/>
    </row>
    <row r="262" spans="1:11">
      <c r="A262" s="277"/>
      <c r="B262" s="277"/>
      <c r="C262" s="277" t="s">
        <v>41</v>
      </c>
      <c r="D262" s="277" t="s">
        <v>571</v>
      </c>
      <c r="E262" s="279">
        <v>70</v>
      </c>
      <c r="F262" s="279">
        <v>68.400000000000006</v>
      </c>
      <c r="G262" s="279">
        <v>0</v>
      </c>
      <c r="H262" s="279">
        <v>70</v>
      </c>
      <c r="I262" s="279">
        <v>68.400000000000006</v>
      </c>
      <c r="J262" s="253">
        <v>1.6</v>
      </c>
      <c r="K262" s="277"/>
    </row>
    <row r="263" spans="1:11">
      <c r="A263" s="253"/>
      <c r="B263" s="253"/>
      <c r="C263" s="253"/>
      <c r="D263" s="253"/>
      <c r="E263" s="253"/>
      <c r="F263" s="257"/>
      <c r="G263" s="257"/>
      <c r="H263" s="257"/>
      <c r="I263" s="257"/>
      <c r="J263" s="257"/>
      <c r="K263" s="257"/>
    </row>
    <row r="264" spans="1:11" ht="31.5">
      <c r="A264" s="253">
        <v>10</v>
      </c>
      <c r="B264" s="253" t="s">
        <v>671</v>
      </c>
      <c r="C264" s="253" t="s">
        <v>42</v>
      </c>
      <c r="D264" s="253" t="s">
        <v>43</v>
      </c>
      <c r="E264" s="253">
        <v>85</v>
      </c>
      <c r="F264" s="253">
        <v>187.65</v>
      </c>
      <c r="G264" s="253">
        <v>0</v>
      </c>
      <c r="H264" s="253">
        <v>85</v>
      </c>
      <c r="I264" s="253">
        <v>85</v>
      </c>
      <c r="J264" s="253"/>
      <c r="K264" s="253" t="s">
        <v>39</v>
      </c>
    </row>
    <row r="265" spans="1:11" ht="31.5">
      <c r="A265" s="253"/>
      <c r="B265" s="253"/>
      <c r="C265" s="253" t="s">
        <v>44</v>
      </c>
      <c r="D265" s="253" t="s">
        <v>45</v>
      </c>
      <c r="E265" s="253"/>
      <c r="F265" s="253"/>
      <c r="G265" s="253"/>
      <c r="H265" s="253"/>
      <c r="I265" s="253"/>
      <c r="J265" s="253"/>
      <c r="K265" s="253" t="s">
        <v>46</v>
      </c>
    </row>
    <row r="266" spans="1:11">
      <c r="A266" s="253"/>
      <c r="B266" s="253"/>
      <c r="C266" s="253" t="s">
        <v>47</v>
      </c>
      <c r="D266" s="253"/>
      <c r="E266" s="253"/>
      <c r="F266" s="253"/>
      <c r="G266" s="253"/>
      <c r="H266" s="253"/>
      <c r="I266" s="253"/>
      <c r="J266" s="253"/>
      <c r="K266" s="253"/>
    </row>
    <row r="267" spans="1:11">
      <c r="A267" s="253"/>
      <c r="B267" s="253"/>
      <c r="C267" s="253" t="s">
        <v>48</v>
      </c>
      <c r="D267" s="253"/>
      <c r="E267" s="253"/>
      <c r="F267" s="253"/>
      <c r="G267" s="253"/>
      <c r="H267" s="253"/>
      <c r="I267" s="253"/>
      <c r="J267" s="253"/>
      <c r="K267" s="253"/>
    </row>
    <row r="268" spans="1:11">
      <c r="A268" s="253"/>
      <c r="B268" s="253"/>
      <c r="C268" s="253"/>
      <c r="D268" s="253"/>
      <c r="E268" s="253"/>
      <c r="F268" s="253"/>
      <c r="G268" s="253"/>
      <c r="H268" s="253"/>
      <c r="I268" s="253"/>
      <c r="J268" s="253"/>
      <c r="K268" s="253"/>
    </row>
    <row r="269" spans="1:11">
      <c r="A269" s="253"/>
      <c r="B269" s="253"/>
      <c r="C269" s="253"/>
      <c r="D269" s="253"/>
      <c r="E269" s="253"/>
      <c r="F269" s="253"/>
      <c r="G269" s="253"/>
      <c r="H269" s="253"/>
      <c r="I269" s="253"/>
      <c r="J269" s="253"/>
      <c r="K269" s="253"/>
    </row>
    <row r="270" spans="1:11" ht="31.5">
      <c r="A270" s="253">
        <v>11</v>
      </c>
      <c r="B270" s="253" t="s">
        <v>671</v>
      </c>
      <c r="C270" s="253" t="s">
        <v>49</v>
      </c>
      <c r="D270" s="253" t="s">
        <v>50</v>
      </c>
      <c r="E270" s="253">
        <v>336</v>
      </c>
      <c r="F270" s="253">
        <v>435.6</v>
      </c>
      <c r="G270" s="253">
        <v>0</v>
      </c>
      <c r="H270" s="253">
        <v>336</v>
      </c>
      <c r="I270" s="253">
        <v>336</v>
      </c>
      <c r="J270" s="253"/>
      <c r="K270" s="253" t="s">
        <v>51</v>
      </c>
    </row>
    <row r="271" spans="1:11" ht="31.5">
      <c r="A271" s="253"/>
      <c r="B271" s="253"/>
      <c r="C271" s="253" t="s">
        <v>52</v>
      </c>
      <c r="D271" s="253" t="s">
        <v>53</v>
      </c>
      <c r="E271" s="253"/>
      <c r="F271" s="253"/>
      <c r="G271" s="253"/>
      <c r="H271" s="253"/>
      <c r="I271" s="253"/>
      <c r="J271" s="253"/>
      <c r="K271" s="253" t="s">
        <v>54</v>
      </c>
    </row>
    <row r="272" spans="1:11">
      <c r="A272" s="253"/>
      <c r="B272" s="253"/>
      <c r="C272" s="253"/>
      <c r="D272" s="253" t="s">
        <v>55</v>
      </c>
      <c r="E272" s="253"/>
      <c r="F272" s="253"/>
      <c r="G272" s="253"/>
      <c r="H272" s="253"/>
      <c r="I272" s="253"/>
      <c r="J272" s="253"/>
      <c r="K272" s="253"/>
    </row>
    <row r="273" spans="1:11" ht="31.5">
      <c r="A273" s="253"/>
      <c r="B273" s="253"/>
      <c r="C273" s="253"/>
      <c r="D273" s="253" t="s">
        <v>56</v>
      </c>
      <c r="E273" s="253"/>
      <c r="F273" s="253"/>
      <c r="G273" s="253"/>
      <c r="H273" s="253"/>
      <c r="I273" s="253"/>
      <c r="J273" s="253"/>
      <c r="K273" s="253"/>
    </row>
    <row r="274" spans="1:11">
      <c r="A274" s="253"/>
      <c r="B274" s="253"/>
      <c r="C274" s="253"/>
      <c r="D274" s="253" t="s">
        <v>57</v>
      </c>
      <c r="E274" s="253"/>
      <c r="F274" s="253"/>
      <c r="G274" s="253"/>
      <c r="H274" s="253"/>
      <c r="I274" s="253"/>
      <c r="J274" s="253"/>
      <c r="K274" s="253"/>
    </row>
    <row r="275" spans="1:11">
      <c r="A275" s="253"/>
      <c r="B275" s="253"/>
      <c r="C275" s="253"/>
      <c r="D275" s="253" t="s">
        <v>58</v>
      </c>
      <c r="E275" s="253"/>
      <c r="F275" s="257"/>
      <c r="G275" s="257"/>
      <c r="H275" s="257"/>
      <c r="I275" s="257"/>
      <c r="J275" s="257"/>
      <c r="K275" s="257"/>
    </row>
    <row r="276" spans="1:11">
      <c r="A276" s="257"/>
      <c r="B276" s="257"/>
      <c r="C276" s="257"/>
      <c r="D276" s="257"/>
      <c r="E276" s="257"/>
      <c r="F276" s="257"/>
      <c r="G276" s="257"/>
      <c r="H276" s="257"/>
      <c r="I276" s="257"/>
      <c r="J276" s="257"/>
      <c r="K276" s="257"/>
    </row>
    <row r="277" spans="1:11" ht="31.5">
      <c r="A277" s="253">
        <v>12</v>
      </c>
      <c r="B277" s="253" t="s">
        <v>557</v>
      </c>
      <c r="C277" s="253" t="s">
        <v>59</v>
      </c>
      <c r="D277" s="253" t="s">
        <v>60</v>
      </c>
      <c r="E277" s="253">
        <v>395</v>
      </c>
      <c r="F277" s="253">
        <v>414.38</v>
      </c>
      <c r="G277" s="253"/>
      <c r="H277" s="253">
        <v>395</v>
      </c>
      <c r="I277" s="253">
        <v>395</v>
      </c>
      <c r="J277" s="253"/>
      <c r="K277" s="253" t="s">
        <v>61</v>
      </c>
    </row>
    <row r="278" spans="1:11" ht="31.5">
      <c r="A278" s="253"/>
      <c r="B278" s="253"/>
      <c r="C278" s="253" t="s">
        <v>62</v>
      </c>
      <c r="D278" s="253" t="s">
        <v>63</v>
      </c>
      <c r="E278" s="253"/>
      <c r="F278" s="253"/>
      <c r="G278" s="253"/>
      <c r="H278" s="253"/>
      <c r="I278" s="253"/>
      <c r="J278" s="253"/>
      <c r="K278" s="253" t="s">
        <v>64</v>
      </c>
    </row>
    <row r="279" spans="1:11">
      <c r="A279" s="253"/>
      <c r="B279" s="253"/>
      <c r="C279" s="253" t="s">
        <v>17</v>
      </c>
      <c r="D279" s="253"/>
      <c r="E279" s="253"/>
      <c r="F279" s="253"/>
      <c r="G279" s="253"/>
      <c r="H279" s="253"/>
      <c r="I279" s="253"/>
      <c r="J279" s="253"/>
      <c r="K279" s="253"/>
    </row>
    <row r="280" spans="1:11">
      <c r="A280" s="253"/>
      <c r="B280" s="253"/>
      <c r="C280" s="253" t="s">
        <v>65</v>
      </c>
      <c r="D280" s="253"/>
      <c r="E280" s="253"/>
      <c r="F280" s="253"/>
      <c r="G280" s="253"/>
      <c r="H280" s="253"/>
      <c r="I280" s="253"/>
      <c r="J280" s="253"/>
      <c r="K280" s="253"/>
    </row>
    <row r="281" spans="1:11">
      <c r="A281" s="253"/>
      <c r="B281" s="253"/>
      <c r="C281" s="253"/>
      <c r="D281" s="253"/>
      <c r="E281" s="253"/>
      <c r="F281" s="253"/>
      <c r="G281" s="253"/>
      <c r="H281" s="253"/>
      <c r="I281" s="253"/>
      <c r="J281" s="253"/>
      <c r="K281" s="253"/>
    </row>
    <row r="282" spans="1:11" ht="31.5">
      <c r="A282" s="253">
        <v>13</v>
      </c>
      <c r="B282" s="253" t="s">
        <v>876</v>
      </c>
      <c r="C282" s="253" t="s">
        <v>66</v>
      </c>
      <c r="D282" s="253" t="s">
        <v>67</v>
      </c>
      <c r="E282" s="254">
        <v>428.75</v>
      </c>
      <c r="F282" s="254">
        <v>347.82</v>
      </c>
      <c r="G282" s="254">
        <v>98</v>
      </c>
      <c r="H282" s="254">
        <v>330.75</v>
      </c>
      <c r="I282" s="254">
        <v>249.82</v>
      </c>
      <c r="J282" s="253">
        <v>80.930000000000007</v>
      </c>
      <c r="K282" s="277" t="s">
        <v>68</v>
      </c>
    </row>
    <row r="283" spans="1:11" ht="31.5">
      <c r="A283" s="253"/>
      <c r="B283" s="253"/>
      <c r="C283" s="253" t="s">
        <v>69</v>
      </c>
      <c r="D283" s="253" t="s">
        <v>70</v>
      </c>
      <c r="E283" s="254"/>
      <c r="F283" s="257"/>
      <c r="G283" s="257"/>
      <c r="H283" s="257"/>
      <c r="I283" s="257"/>
      <c r="J283" s="257"/>
      <c r="K283" s="257"/>
    </row>
    <row r="284" spans="1:11">
      <c r="A284" s="253"/>
      <c r="B284" s="253"/>
      <c r="C284" s="253" t="s">
        <v>71</v>
      </c>
      <c r="D284" s="253" t="s">
        <v>72</v>
      </c>
      <c r="E284" s="254"/>
      <c r="F284" s="254"/>
      <c r="G284" s="254"/>
      <c r="H284" s="254"/>
      <c r="I284" s="254"/>
      <c r="J284" s="253"/>
      <c r="K284" s="277"/>
    </row>
    <row r="285" spans="1:11" ht="31.5">
      <c r="A285" s="253"/>
      <c r="B285" s="253"/>
      <c r="C285" s="253"/>
      <c r="D285" s="253" t="s">
        <v>73</v>
      </c>
      <c r="E285" s="253"/>
      <c r="F285" s="254"/>
      <c r="G285" s="254"/>
      <c r="H285" s="254"/>
      <c r="I285" s="254"/>
      <c r="J285" s="253"/>
      <c r="K285" s="253"/>
    </row>
    <row r="286" spans="1:11" ht="31.5">
      <c r="A286" s="253"/>
      <c r="B286" s="253"/>
      <c r="C286" s="253"/>
      <c r="D286" s="253" t="s">
        <v>74</v>
      </c>
      <c r="E286" s="254"/>
      <c r="F286" s="253"/>
      <c r="G286" s="253"/>
      <c r="H286" s="253"/>
      <c r="I286" s="253"/>
      <c r="J286" s="253"/>
      <c r="K286" s="253"/>
    </row>
    <row r="287" spans="1:11" ht="31.5">
      <c r="A287" s="253"/>
      <c r="B287" s="253"/>
      <c r="C287" s="253"/>
      <c r="D287" s="260" t="s">
        <v>75</v>
      </c>
      <c r="E287" s="254"/>
      <c r="F287" s="254"/>
      <c r="G287" s="253"/>
      <c r="H287" s="253"/>
      <c r="I287" s="253"/>
      <c r="J287" s="253"/>
      <c r="K287" s="253"/>
    </row>
    <row r="288" spans="1:11">
      <c r="A288" s="253"/>
      <c r="B288" s="253"/>
      <c r="C288" s="253"/>
      <c r="D288" s="253" t="s">
        <v>76</v>
      </c>
      <c r="E288" s="254"/>
      <c r="F288" s="254"/>
      <c r="G288" s="254"/>
      <c r="H288" s="254"/>
      <c r="I288" s="254"/>
      <c r="J288" s="253"/>
      <c r="K288" s="253"/>
    </row>
    <row r="289" spans="1:11" ht="31.5">
      <c r="A289" s="253"/>
      <c r="B289" s="253"/>
      <c r="C289" s="253"/>
      <c r="D289" s="253" t="s">
        <v>77</v>
      </c>
      <c r="E289" s="254"/>
      <c r="F289" s="254"/>
      <c r="G289" s="254"/>
      <c r="H289" s="254"/>
      <c r="I289" s="254"/>
      <c r="J289" s="253"/>
      <c r="K289" s="253"/>
    </row>
    <row r="290" spans="1:11" ht="31.5">
      <c r="A290" s="253"/>
      <c r="B290" s="253"/>
      <c r="C290" s="253"/>
      <c r="D290" s="253" t="s">
        <v>78</v>
      </c>
      <c r="E290" s="254"/>
      <c r="F290" s="254"/>
      <c r="G290" s="254"/>
      <c r="H290" s="254"/>
      <c r="I290" s="254"/>
      <c r="J290" s="253"/>
      <c r="K290" s="253"/>
    </row>
    <row r="291" spans="1:11">
      <c r="A291" s="253"/>
      <c r="B291" s="253"/>
      <c r="C291" s="253" t="s">
        <v>79</v>
      </c>
      <c r="D291" s="253" t="s">
        <v>611</v>
      </c>
      <c r="E291" s="254">
        <v>86</v>
      </c>
      <c r="F291" s="254">
        <v>105.47</v>
      </c>
      <c r="G291" s="254">
        <v>0</v>
      </c>
      <c r="H291" s="254">
        <v>86</v>
      </c>
      <c r="I291" s="254">
        <v>86</v>
      </c>
      <c r="J291" s="253"/>
      <c r="K291" s="253"/>
    </row>
    <row r="292" spans="1:11">
      <c r="A292" s="253"/>
      <c r="B292" s="253"/>
      <c r="C292" s="253"/>
      <c r="D292" s="253"/>
      <c r="E292" s="254"/>
      <c r="F292" s="254"/>
      <c r="G292" s="254"/>
      <c r="H292" s="254"/>
      <c r="I292" s="254"/>
      <c r="J292" s="253"/>
      <c r="K292" s="253"/>
    </row>
    <row r="293" spans="1:11" ht="47.25">
      <c r="A293" s="253">
        <v>14</v>
      </c>
      <c r="B293" s="253" t="s">
        <v>80</v>
      </c>
      <c r="C293" s="253" t="s">
        <v>81</v>
      </c>
      <c r="D293" s="253" t="s">
        <v>82</v>
      </c>
      <c r="E293" s="253">
        <v>85</v>
      </c>
      <c r="F293" s="257"/>
      <c r="G293" s="257"/>
      <c r="H293" s="253">
        <v>85</v>
      </c>
      <c r="I293" s="257"/>
      <c r="J293" s="253">
        <v>85</v>
      </c>
      <c r="K293" s="260" t="s">
        <v>83</v>
      </c>
    </row>
    <row r="294" spans="1:11" ht="31.5">
      <c r="A294" s="253"/>
      <c r="B294" s="253"/>
      <c r="C294" s="253" t="s">
        <v>84</v>
      </c>
      <c r="D294" s="253"/>
      <c r="E294" s="253"/>
      <c r="F294" s="254"/>
      <c r="G294" s="254"/>
      <c r="H294" s="254"/>
      <c r="I294" s="254"/>
      <c r="J294" s="253"/>
      <c r="K294" s="260" t="s">
        <v>85</v>
      </c>
    </row>
    <row r="295" spans="1:11">
      <c r="A295" s="253"/>
      <c r="B295" s="253"/>
      <c r="C295" s="253" t="s">
        <v>86</v>
      </c>
      <c r="D295" s="253"/>
      <c r="E295" s="253"/>
      <c r="F295" s="253"/>
      <c r="G295" s="253"/>
      <c r="H295" s="257"/>
      <c r="I295" s="253"/>
      <c r="J295" s="257"/>
      <c r="K295" s="253" t="s">
        <v>87</v>
      </c>
    </row>
    <row r="296" spans="1:11">
      <c r="A296" s="253"/>
      <c r="B296" s="253"/>
      <c r="C296" s="253" t="s">
        <v>88</v>
      </c>
      <c r="D296" s="253"/>
      <c r="E296" s="253"/>
      <c r="F296" s="253"/>
      <c r="G296" s="253"/>
      <c r="H296" s="253"/>
      <c r="I296" s="253"/>
      <c r="J296" s="253"/>
      <c r="K296" s="257"/>
    </row>
    <row r="297" spans="1:11">
      <c r="A297" s="253"/>
      <c r="B297" s="253"/>
      <c r="C297" s="253"/>
      <c r="D297" s="253"/>
      <c r="E297" s="257"/>
      <c r="F297" s="253"/>
      <c r="G297" s="253"/>
      <c r="H297" s="253"/>
      <c r="I297" s="253"/>
      <c r="J297" s="253"/>
      <c r="K297" s="257"/>
    </row>
    <row r="298" spans="1:11">
      <c r="A298" s="253"/>
      <c r="B298" s="253"/>
      <c r="C298" s="250" t="s">
        <v>89</v>
      </c>
      <c r="D298" s="253"/>
      <c r="E298" s="253">
        <f t="shared" ref="E298:J298" si="1">SUM(E222:E297)</f>
        <v>2460.75</v>
      </c>
      <c r="F298" s="253">
        <f t="shared" si="1"/>
        <v>1954.73</v>
      </c>
      <c r="G298" s="253">
        <f t="shared" si="1"/>
        <v>98</v>
      </c>
      <c r="H298" s="253">
        <f t="shared" si="1"/>
        <v>2362.75</v>
      </c>
      <c r="I298" s="253">
        <f t="shared" si="1"/>
        <v>1406.8899999999999</v>
      </c>
      <c r="J298" s="253">
        <f t="shared" si="1"/>
        <v>955.86000000000013</v>
      </c>
      <c r="K298" s="253"/>
    </row>
    <row r="299" spans="1:11">
      <c r="A299" s="253"/>
      <c r="B299" s="253"/>
      <c r="C299" s="250" t="s">
        <v>982</v>
      </c>
      <c r="D299" s="253"/>
      <c r="E299" s="253">
        <f>E298*0.2</f>
        <v>492.15000000000003</v>
      </c>
      <c r="F299" s="253"/>
      <c r="G299" s="253"/>
      <c r="H299" s="253"/>
      <c r="I299" s="253"/>
      <c r="J299" s="253"/>
      <c r="K299" s="253"/>
    </row>
    <row r="300" spans="1:11">
      <c r="A300" s="253"/>
      <c r="B300" s="253"/>
      <c r="C300" s="250" t="s">
        <v>393</v>
      </c>
      <c r="D300" s="253"/>
      <c r="E300" s="266">
        <f>SUM(E298:E299)</f>
        <v>2952.9</v>
      </c>
      <c r="F300" s="266">
        <f>F298</f>
        <v>1954.73</v>
      </c>
      <c r="G300" s="266">
        <f>G298</f>
        <v>98</v>
      </c>
      <c r="H300" s="266">
        <f>H298</f>
        <v>2362.75</v>
      </c>
      <c r="I300" s="266">
        <f>I298</f>
        <v>1406.8899999999999</v>
      </c>
      <c r="J300" s="266">
        <f>J298</f>
        <v>955.86000000000013</v>
      </c>
      <c r="K300" s="253"/>
    </row>
    <row r="301" spans="1:11">
      <c r="A301" s="253"/>
      <c r="B301" s="253"/>
      <c r="C301" s="253"/>
      <c r="D301" s="253"/>
      <c r="E301" s="253"/>
      <c r="F301" s="267"/>
      <c r="G301" s="267"/>
      <c r="H301" s="267"/>
      <c r="I301" s="253"/>
      <c r="J301" s="253"/>
      <c r="K301" s="253"/>
    </row>
    <row r="303" spans="1:11">
      <c r="H303" s="249">
        <f>H300*0.2</f>
        <v>472.55</v>
      </c>
    </row>
    <row r="304" spans="1:11">
      <c r="E304" s="274"/>
      <c r="G304" s="274"/>
      <c r="H304" s="274"/>
    </row>
    <row r="305" spans="1:8">
      <c r="E305" s="274"/>
    </row>
    <row r="306" spans="1:8" ht="47.25">
      <c r="A306" s="273"/>
      <c r="B306" s="280" t="s">
        <v>244</v>
      </c>
      <c r="C306" s="280" t="s">
        <v>245</v>
      </c>
      <c r="D306" s="280" t="s">
        <v>246</v>
      </c>
      <c r="E306" s="281" t="s">
        <v>247</v>
      </c>
      <c r="F306" s="2711" t="s">
        <v>248</v>
      </c>
      <c r="G306" s="2712"/>
      <c r="H306" s="2713"/>
    </row>
    <row r="307" spans="1:8" ht="15.75" customHeight="1">
      <c r="B307" s="257">
        <v>1</v>
      </c>
      <c r="C307" s="2714" t="s">
        <v>249</v>
      </c>
      <c r="D307" s="257" t="s">
        <v>250</v>
      </c>
      <c r="E307" s="257">
        <v>849</v>
      </c>
      <c r="F307" s="2714" t="s">
        <v>251</v>
      </c>
      <c r="G307" s="2714"/>
      <c r="H307" s="2714"/>
    </row>
    <row r="308" spans="1:8">
      <c r="B308" s="257"/>
      <c r="C308" s="2714"/>
      <c r="D308" s="257"/>
      <c r="E308" s="257"/>
      <c r="F308" s="2714"/>
      <c r="G308" s="2714"/>
      <c r="H308" s="2714"/>
    </row>
    <row r="309" spans="1:8">
      <c r="B309" s="257"/>
      <c r="C309" s="257"/>
      <c r="D309" s="257"/>
      <c r="E309" s="257"/>
      <c r="F309" s="257"/>
      <c r="G309" s="257"/>
      <c r="H309" s="257"/>
    </row>
    <row r="310" spans="1:8">
      <c r="B310" s="257">
        <v>2</v>
      </c>
      <c r="C310" s="257" t="s">
        <v>252</v>
      </c>
      <c r="D310" s="257" t="s">
        <v>254</v>
      </c>
      <c r="E310" s="257">
        <v>742</v>
      </c>
      <c r="F310" s="257"/>
      <c r="G310" s="257"/>
      <c r="H310" s="257"/>
    </row>
    <row r="311" spans="1:8" ht="31.5">
      <c r="B311" s="257"/>
      <c r="C311" s="257" t="s">
        <v>253</v>
      </c>
      <c r="D311" s="257" t="s">
        <v>255</v>
      </c>
      <c r="E311" s="257">
        <v>64.430000000000007</v>
      </c>
      <c r="F311" s="257"/>
      <c r="G311" s="257"/>
      <c r="H311" s="257"/>
    </row>
    <row r="312" spans="1:8">
      <c r="B312" s="257"/>
      <c r="C312" s="257"/>
      <c r="D312" s="257"/>
      <c r="E312" s="257"/>
      <c r="F312" s="257"/>
      <c r="G312" s="257"/>
      <c r="H312" s="257"/>
    </row>
    <row r="313" spans="1:8">
      <c r="B313" s="257">
        <v>3</v>
      </c>
      <c r="C313" s="257" t="s">
        <v>256</v>
      </c>
      <c r="D313" s="257" t="s">
        <v>270</v>
      </c>
      <c r="E313" s="257">
        <v>1146</v>
      </c>
      <c r="F313" s="257"/>
      <c r="G313" s="257"/>
      <c r="H313" s="257"/>
    </row>
    <row r="314" spans="1:8">
      <c r="B314" s="257"/>
      <c r="C314" s="257" t="s">
        <v>257</v>
      </c>
      <c r="D314" s="257" t="s">
        <v>271</v>
      </c>
      <c r="E314" s="257">
        <v>284.75</v>
      </c>
      <c r="F314" s="257"/>
      <c r="G314" s="257"/>
      <c r="H314" s="257"/>
    </row>
    <row r="315" spans="1:8" ht="31.5">
      <c r="B315" s="257"/>
      <c r="C315" s="257" t="s">
        <v>258</v>
      </c>
      <c r="D315" s="257" t="s">
        <v>272</v>
      </c>
      <c r="E315" s="257" t="s">
        <v>278</v>
      </c>
      <c r="F315" s="257"/>
      <c r="G315" s="257"/>
      <c r="H315" s="257"/>
    </row>
    <row r="316" spans="1:8">
      <c r="B316" s="257"/>
      <c r="C316" s="257"/>
      <c r="D316" s="257"/>
      <c r="E316" s="257"/>
      <c r="F316" s="257"/>
      <c r="G316" s="257"/>
      <c r="H316" s="257"/>
    </row>
    <row r="317" spans="1:8" ht="31.5">
      <c r="B317" s="257">
        <v>4</v>
      </c>
      <c r="C317" s="257" t="s">
        <v>259</v>
      </c>
      <c r="D317" s="257" t="s">
        <v>273</v>
      </c>
      <c r="E317" s="257">
        <v>637</v>
      </c>
      <c r="F317" s="257"/>
      <c r="G317" s="257"/>
      <c r="H317" s="257"/>
    </row>
    <row r="318" spans="1:8">
      <c r="B318" s="257"/>
      <c r="C318" s="257" t="s">
        <v>260</v>
      </c>
      <c r="D318" s="257"/>
      <c r="E318" s="257"/>
      <c r="F318" s="257"/>
      <c r="G318" s="257"/>
      <c r="H318" s="257"/>
    </row>
    <row r="319" spans="1:8">
      <c r="B319" s="257"/>
      <c r="C319" s="257"/>
      <c r="D319" s="257"/>
      <c r="E319" s="257"/>
      <c r="F319" s="257"/>
      <c r="G319" s="257"/>
      <c r="H319" s="257"/>
    </row>
    <row r="320" spans="1:8">
      <c r="B320" s="257">
        <v>5</v>
      </c>
      <c r="C320" s="257" t="s">
        <v>261</v>
      </c>
      <c r="D320" s="257" t="s">
        <v>270</v>
      </c>
      <c r="E320" s="257">
        <v>976</v>
      </c>
      <c r="F320" s="257"/>
      <c r="G320" s="257"/>
      <c r="H320" s="257"/>
    </row>
    <row r="321" spans="2:8" ht="31.5">
      <c r="B321" s="257"/>
      <c r="C321" s="257" t="s">
        <v>262</v>
      </c>
      <c r="D321" s="257" t="s">
        <v>274</v>
      </c>
      <c r="E321" s="257">
        <v>101.75</v>
      </c>
      <c r="F321" s="257"/>
      <c r="G321" s="257"/>
      <c r="H321" s="257"/>
    </row>
    <row r="322" spans="2:8">
      <c r="B322" s="257"/>
      <c r="C322" s="257" t="s">
        <v>263</v>
      </c>
      <c r="D322" s="257"/>
      <c r="E322" s="257"/>
      <c r="F322" s="257"/>
      <c r="G322" s="257"/>
      <c r="H322" s="257"/>
    </row>
    <row r="323" spans="2:8">
      <c r="B323" s="257"/>
      <c r="C323" s="257"/>
      <c r="D323" s="257"/>
      <c r="E323" s="257"/>
      <c r="F323" s="257"/>
      <c r="G323" s="257"/>
      <c r="H323" s="257"/>
    </row>
    <row r="324" spans="2:8" ht="31.5">
      <c r="B324" s="257">
        <v>6</v>
      </c>
      <c r="C324" s="257" t="s">
        <v>264</v>
      </c>
      <c r="D324" s="257" t="s">
        <v>275</v>
      </c>
      <c r="E324" s="257">
        <v>694</v>
      </c>
      <c r="F324" s="257"/>
      <c r="G324" s="257"/>
      <c r="H324" s="257"/>
    </row>
    <row r="325" spans="2:8">
      <c r="B325" s="257"/>
      <c r="C325" s="257" t="s">
        <v>265</v>
      </c>
      <c r="D325" s="257"/>
      <c r="E325" s="257"/>
      <c r="F325" s="257"/>
      <c r="G325" s="257"/>
      <c r="H325" s="257"/>
    </row>
    <row r="326" spans="2:8">
      <c r="B326" s="257"/>
      <c r="C326" s="257"/>
      <c r="D326" s="257"/>
      <c r="E326" s="257"/>
      <c r="F326" s="257"/>
      <c r="G326" s="257"/>
      <c r="H326" s="257"/>
    </row>
    <row r="327" spans="2:8">
      <c r="B327" s="257">
        <v>7</v>
      </c>
      <c r="C327" s="257" t="s">
        <v>266</v>
      </c>
      <c r="D327" s="257" t="s">
        <v>254</v>
      </c>
      <c r="E327" s="257">
        <v>896</v>
      </c>
      <c r="F327" s="257"/>
      <c r="G327" s="257"/>
      <c r="H327" s="257"/>
    </row>
    <row r="328" spans="2:8" ht="31.5">
      <c r="B328" s="257"/>
      <c r="C328" s="257" t="s">
        <v>267</v>
      </c>
      <c r="D328" s="257" t="s">
        <v>276</v>
      </c>
      <c r="E328" s="257">
        <v>291.5</v>
      </c>
      <c r="F328" s="257"/>
      <c r="G328" s="257"/>
      <c r="H328" s="257"/>
    </row>
    <row r="329" spans="2:8" ht="31.5">
      <c r="B329" s="257"/>
      <c r="C329" s="257" t="s">
        <v>268</v>
      </c>
      <c r="D329" s="257" t="s">
        <v>272</v>
      </c>
      <c r="E329" s="257" t="s">
        <v>279</v>
      </c>
      <c r="F329" s="257"/>
      <c r="G329" s="257"/>
      <c r="H329" s="257"/>
    </row>
    <row r="330" spans="2:8">
      <c r="B330" s="257"/>
      <c r="C330" s="257"/>
      <c r="D330" s="257"/>
      <c r="E330" s="257"/>
      <c r="F330" s="257"/>
      <c r="G330" s="257"/>
      <c r="H330" s="257"/>
    </row>
    <row r="331" spans="2:8">
      <c r="B331" s="257">
        <v>8</v>
      </c>
      <c r="C331" s="257" t="s">
        <v>269</v>
      </c>
      <c r="D331" s="257" t="s">
        <v>277</v>
      </c>
      <c r="E331" s="257">
        <v>31.2</v>
      </c>
      <c r="F331" s="257"/>
      <c r="G331" s="257"/>
      <c r="H331" s="257"/>
    </row>
    <row r="332" spans="2:8">
      <c r="B332" s="257"/>
      <c r="C332" s="257"/>
      <c r="D332" s="257"/>
      <c r="E332" s="257">
        <f>SUM(E307:E331)</f>
        <v>6713.63</v>
      </c>
      <c r="F332" s="257"/>
      <c r="G332" s="257"/>
      <c r="H332" s="257"/>
    </row>
    <row r="333" spans="2:8">
      <c r="B333" s="257"/>
      <c r="C333" s="250" t="s">
        <v>982</v>
      </c>
      <c r="D333" s="257"/>
      <c r="E333" s="257">
        <f>0.2*E332</f>
        <v>1342.7260000000001</v>
      </c>
      <c r="F333" s="257"/>
      <c r="G333" s="257"/>
      <c r="H333" s="257"/>
    </row>
    <row r="334" spans="2:8">
      <c r="B334" s="257"/>
      <c r="C334" s="257"/>
      <c r="D334" s="257"/>
      <c r="E334" s="257">
        <f>SUM(E332:E333)</f>
        <v>8056.3559999999998</v>
      </c>
      <c r="F334" s="257"/>
      <c r="G334" s="257"/>
      <c r="H334" s="257"/>
    </row>
  </sheetData>
  <mergeCells count="76">
    <mergeCell ref="A221:K221"/>
    <mergeCell ref="I150:I165"/>
    <mergeCell ref="J150:J165"/>
    <mergeCell ref="I166:I167"/>
    <mergeCell ref="J166:J167"/>
    <mergeCell ref="A213:K213"/>
    <mergeCell ref="I188:I192"/>
    <mergeCell ref="J188:J192"/>
    <mergeCell ref="A209:C209"/>
    <mergeCell ref="I140:I143"/>
    <mergeCell ref="J140:J143"/>
    <mergeCell ref="I145:I148"/>
    <mergeCell ref="J145:J148"/>
    <mergeCell ref="I169:I186"/>
    <mergeCell ref="J169:J186"/>
    <mergeCell ref="J113:J116"/>
    <mergeCell ref="I133:I134"/>
    <mergeCell ref="J133:J134"/>
    <mergeCell ref="I135:I138"/>
    <mergeCell ref="J135:J138"/>
    <mergeCell ref="I60:I61"/>
    <mergeCell ref="J60:J61"/>
    <mergeCell ref="I69:I72"/>
    <mergeCell ref="J69:J72"/>
    <mergeCell ref="I130:I132"/>
    <mergeCell ref="J130:J132"/>
    <mergeCell ref="J88:J94"/>
    <mergeCell ref="I97:I100"/>
    <mergeCell ref="J97:J100"/>
    <mergeCell ref="I102:I111"/>
    <mergeCell ref="J102:J111"/>
    <mergeCell ref="I113:I116"/>
    <mergeCell ref="I127:I129"/>
    <mergeCell ref="J127:J129"/>
    <mergeCell ref="I118:I124"/>
    <mergeCell ref="J118:J124"/>
    <mergeCell ref="F73:F75"/>
    <mergeCell ref="I73:I76"/>
    <mergeCell ref="J73:J76"/>
    <mergeCell ref="J81:J85"/>
    <mergeCell ref="I88:I94"/>
    <mergeCell ref="I77:I80"/>
    <mergeCell ref="J77:J80"/>
    <mergeCell ref="I81:I85"/>
    <mergeCell ref="J47:J53"/>
    <mergeCell ref="J5:J15"/>
    <mergeCell ref="F30:F33"/>
    <mergeCell ref="I30:I34"/>
    <mergeCell ref="F63:F66"/>
    <mergeCell ref="I63:I67"/>
    <mergeCell ref="J63:J67"/>
    <mergeCell ref="J30:J34"/>
    <mergeCell ref="I36:I40"/>
    <mergeCell ref="J36:J40"/>
    <mergeCell ref="F41:F45"/>
    <mergeCell ref="I41:I46"/>
    <mergeCell ref="J41:J46"/>
    <mergeCell ref="F54:F57"/>
    <mergeCell ref="I54:I59"/>
    <mergeCell ref="J54:J59"/>
    <mergeCell ref="F306:H306"/>
    <mergeCell ref="C307:C308"/>
    <mergeCell ref="F307:H308"/>
    <mergeCell ref="A1:K1"/>
    <mergeCell ref="A2:K2"/>
    <mergeCell ref="E5:E9"/>
    <mergeCell ref="F5:F15"/>
    <mergeCell ref="G5:G15"/>
    <mergeCell ref="H5:H15"/>
    <mergeCell ref="I5:I15"/>
    <mergeCell ref="E10:E15"/>
    <mergeCell ref="F16:F22"/>
    <mergeCell ref="I16:I22"/>
    <mergeCell ref="J16:J22"/>
    <mergeCell ref="F47:F51"/>
    <mergeCell ref="I47:I53"/>
  </mergeCells>
  <phoneticPr fontId="14" type="noConversion"/>
  <printOptions horizontalCentered="1"/>
  <pageMargins left="0.7" right="0.7" top="0.75" bottom="0.75" header="0.3" footer="0.3"/>
  <pageSetup paperSize="9" scale="57" orientation="landscape" horizontalDpi="300" verticalDpi="300" r:id="rId1"/>
  <headerFooter>
    <oddHeader>&amp;R&amp;F</oddHeader>
    <oddFooter>&amp;L&amp;P</oddFooter>
  </headerFooter>
  <rowBreaks count="4" manualBreakCount="4">
    <brk id="187" max="10" man="1"/>
    <brk id="220" max="16383" man="1"/>
    <brk id="252" max="10" man="1"/>
    <brk id="304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6"/>
  <sheetViews>
    <sheetView workbookViewId="0">
      <selection activeCell="E13" sqref="E13"/>
    </sheetView>
  </sheetViews>
  <sheetFormatPr defaultRowHeight="15.75"/>
  <cols>
    <col min="1" max="1" width="9.140625" style="2"/>
    <col min="2" max="2" width="5.28515625" style="2" customWidth="1"/>
    <col min="3" max="3" width="35.140625" style="2" customWidth="1"/>
    <col min="4" max="4" width="16.7109375" style="2" hidden="1" customWidth="1"/>
    <col min="5" max="5" width="19.28515625" style="2" bestFit="1" customWidth="1"/>
    <col min="6" max="6" width="18.7109375" style="2" customWidth="1"/>
    <col min="7" max="16384" width="9.140625" style="2"/>
  </cols>
  <sheetData>
    <row r="1" spans="2:7">
      <c r="F1" s="9" t="s">
        <v>416</v>
      </c>
    </row>
    <row r="2" spans="2:7">
      <c r="B2" s="2434" t="s">
        <v>343</v>
      </c>
      <c r="C2" s="2434"/>
      <c r="D2" s="2434"/>
      <c r="E2" s="2434"/>
      <c r="F2" s="2434"/>
      <c r="G2" s="10"/>
    </row>
    <row r="3" spans="2:7">
      <c r="B3" s="2435" t="s">
        <v>298</v>
      </c>
      <c r="C3" s="2435"/>
      <c r="D3" s="2435"/>
      <c r="E3" s="2435"/>
      <c r="F3" s="2435"/>
    </row>
    <row r="4" spans="2:7">
      <c r="B4" s="2435" t="s">
        <v>362</v>
      </c>
      <c r="C4" s="2435"/>
      <c r="D4" s="2435"/>
      <c r="E4" s="2435"/>
      <c r="F4" s="2435"/>
    </row>
    <row r="5" spans="2:7" ht="16.5" thickBot="1">
      <c r="E5" s="8"/>
      <c r="F5" s="49" t="s">
        <v>93</v>
      </c>
    </row>
    <row r="6" spans="2:7" s="54" customFormat="1" ht="63">
      <c r="B6" s="55" t="s">
        <v>295</v>
      </c>
      <c r="C6" s="56" t="s">
        <v>282</v>
      </c>
      <c r="D6" s="56" t="s">
        <v>377</v>
      </c>
      <c r="E6" s="57" t="s">
        <v>156</v>
      </c>
      <c r="F6" s="58" t="s">
        <v>376</v>
      </c>
    </row>
    <row r="7" spans="2:7" s="54" customFormat="1" ht="18.75" customHeight="1">
      <c r="B7" s="59">
        <v>1</v>
      </c>
      <c r="C7" s="53">
        <v>2</v>
      </c>
      <c r="D7" s="53">
        <v>3</v>
      </c>
      <c r="E7" s="60">
        <v>4</v>
      </c>
      <c r="F7" s="46">
        <v>5</v>
      </c>
    </row>
    <row r="8" spans="2:7" ht="18.75" customHeight="1">
      <c r="B8" s="51">
        <v>1</v>
      </c>
      <c r="C8" s="5" t="s">
        <v>363</v>
      </c>
      <c r="D8" s="169">
        <v>18431.77</v>
      </c>
      <c r="E8" s="170" t="e">
        <f>#REF!</f>
        <v>#REF!</v>
      </c>
      <c r="F8" s="168" t="e">
        <f>#REF!</f>
        <v>#REF!</v>
      </c>
    </row>
    <row r="9" spans="2:7" ht="18.75" customHeight="1">
      <c r="B9" s="51">
        <v>2</v>
      </c>
      <c r="C9" s="5" t="s">
        <v>364</v>
      </c>
      <c r="D9" s="169">
        <v>8092.43</v>
      </c>
      <c r="E9" s="170" t="e">
        <f>#REF!/10^7+#REF!</f>
        <v>#REF!</v>
      </c>
      <c r="F9" s="168" t="e">
        <f>'CB&amp;R'!E9+#REF!</f>
        <v>#REF!</v>
      </c>
    </row>
    <row r="10" spans="2:7" ht="18.75" customHeight="1">
      <c r="B10" s="67">
        <v>3</v>
      </c>
      <c r="C10" s="47" t="s">
        <v>365</v>
      </c>
      <c r="D10" s="171">
        <f>D8-D9</f>
        <v>10339.34</v>
      </c>
      <c r="E10" s="170" t="e">
        <f>E8-E9</f>
        <v>#REF!</v>
      </c>
      <c r="F10" s="168" t="e">
        <f>F8-F9</f>
        <v>#REF!</v>
      </c>
    </row>
    <row r="11" spans="2:7" ht="18.75" customHeight="1">
      <c r="B11" s="51">
        <v>4</v>
      </c>
      <c r="C11" s="5" t="s">
        <v>366</v>
      </c>
      <c r="D11" s="169">
        <v>2221.86</v>
      </c>
      <c r="E11" s="172">
        <f>'F14'!E16</f>
        <v>1.45</v>
      </c>
      <c r="F11" s="173">
        <f>'F14'!G16</f>
        <v>0.36</v>
      </c>
    </row>
    <row r="12" spans="2:7" ht="29.25" customHeight="1">
      <c r="B12" s="67">
        <v>5</v>
      </c>
      <c r="C12" s="47" t="s">
        <v>367</v>
      </c>
      <c r="D12" s="171">
        <f>D10-D11</f>
        <v>8117.48</v>
      </c>
      <c r="E12" s="172" t="e">
        <f>E10-E11</f>
        <v>#REF!</v>
      </c>
      <c r="F12" s="173" t="e">
        <f>F10-F11</f>
        <v>#REF!</v>
      </c>
    </row>
    <row r="13" spans="2:7" ht="18.75" customHeight="1" thickBot="1">
      <c r="B13" s="52">
        <v>6</v>
      </c>
      <c r="C13" s="48" t="s">
        <v>442</v>
      </c>
      <c r="D13" s="174">
        <v>412.4554</v>
      </c>
      <c r="E13" s="175">
        <f>'F16'!E13</f>
        <v>45.99</v>
      </c>
      <c r="F13" s="176" t="str">
        <f>'F16'!F13</f>
        <v>NA</v>
      </c>
    </row>
    <row r="14" spans="2:7" ht="18.75" customHeight="1"/>
    <row r="15" spans="2:7" s="54" customFormat="1" ht="31.5" hidden="1" customHeight="1">
      <c r="B15" s="78" t="s">
        <v>295</v>
      </c>
      <c r="C15" s="18" t="s">
        <v>282</v>
      </c>
      <c r="D15" s="18" t="s">
        <v>368</v>
      </c>
      <c r="E15" s="18" t="s">
        <v>368</v>
      </c>
      <c r="F15" s="79" t="s">
        <v>415</v>
      </c>
    </row>
    <row r="16" spans="2:7" s="54" customFormat="1" ht="18.75" hidden="1" customHeight="1">
      <c r="B16" s="80">
        <v>1</v>
      </c>
      <c r="C16" s="19">
        <v>2</v>
      </c>
      <c r="D16" s="19">
        <v>3</v>
      </c>
      <c r="E16" s="19">
        <v>4</v>
      </c>
      <c r="F16" s="81">
        <v>5</v>
      </c>
    </row>
    <row r="17" spans="2:7" ht="18.75" hidden="1" customHeight="1">
      <c r="B17" s="2433">
        <v>1</v>
      </c>
      <c r="C17" s="50" t="s">
        <v>369</v>
      </c>
      <c r="D17" s="86">
        <v>247.53</v>
      </c>
      <c r="E17" s="87">
        <v>228.02</v>
      </c>
      <c r="F17" s="88"/>
    </row>
    <row r="18" spans="2:7" ht="18.75" hidden="1" customHeight="1">
      <c r="B18" s="2433"/>
      <c r="C18" s="20" t="s">
        <v>370</v>
      </c>
      <c r="D18" s="165">
        <f>Capex!F18</f>
        <v>235.26499999999999</v>
      </c>
      <c r="E18" s="87">
        <v>107.01</v>
      </c>
      <c r="F18" s="88"/>
    </row>
    <row r="19" spans="2:7" ht="18.75" hidden="1" customHeight="1">
      <c r="B19" s="2433"/>
      <c r="C19" s="50" t="s">
        <v>371</v>
      </c>
      <c r="D19" s="86">
        <f>SUM(D17:D18)</f>
        <v>482.79499999999996</v>
      </c>
      <c r="E19" s="86">
        <f>SUM(E17:E18)</f>
        <v>335.03000000000003</v>
      </c>
      <c r="F19" s="88"/>
    </row>
    <row r="20" spans="2:7" ht="18.75" hidden="1" customHeight="1">
      <c r="B20" s="2433"/>
      <c r="C20" s="20" t="s">
        <v>372</v>
      </c>
      <c r="D20" s="87">
        <v>76.39</v>
      </c>
      <c r="E20" s="87">
        <v>-38.840000000000003</v>
      </c>
      <c r="F20" s="88"/>
    </row>
    <row r="21" spans="2:7" ht="18.75" hidden="1" customHeight="1">
      <c r="B21" s="2433">
        <v>2</v>
      </c>
      <c r="C21" s="50" t="s">
        <v>373</v>
      </c>
      <c r="D21" s="86">
        <f>D19-D20</f>
        <v>406.40499999999997</v>
      </c>
      <c r="E21" s="86">
        <f>E19-E20</f>
        <v>373.87</v>
      </c>
      <c r="F21" s="88"/>
    </row>
    <row r="22" spans="2:7" ht="18.75" hidden="1" customHeight="1">
      <c r="B22" s="2433"/>
      <c r="C22" s="20" t="s">
        <v>374</v>
      </c>
      <c r="D22" s="165">
        <f>Capex!G18</f>
        <v>739.82</v>
      </c>
      <c r="E22" s="87">
        <v>0</v>
      </c>
      <c r="F22" s="88"/>
    </row>
    <row r="23" spans="2:7" ht="18.75" hidden="1" customHeight="1">
      <c r="B23" s="2433"/>
      <c r="C23" s="50" t="s">
        <v>371</v>
      </c>
      <c r="D23" s="86">
        <f>SUM(D21:D22)</f>
        <v>1146.2249999999999</v>
      </c>
      <c r="E23" s="86">
        <f>SUM(E21:E22)</f>
        <v>373.87</v>
      </c>
      <c r="F23" s="88"/>
    </row>
    <row r="24" spans="2:7" ht="18.75" hidden="1" customHeight="1">
      <c r="B24" s="2433"/>
      <c r="C24" s="20" t="s">
        <v>372</v>
      </c>
      <c r="D24" s="87">
        <v>0</v>
      </c>
      <c r="E24" s="87">
        <v>0</v>
      </c>
      <c r="F24" s="88"/>
    </row>
    <row r="25" spans="2:7" ht="18.75" hidden="1" customHeight="1" thickBot="1">
      <c r="B25" s="68">
        <v>3</v>
      </c>
      <c r="C25" s="69" t="s">
        <v>375</v>
      </c>
      <c r="D25" s="89">
        <f>D23-D24</f>
        <v>1146.2249999999999</v>
      </c>
      <c r="E25" s="89">
        <f>E23-E24</f>
        <v>373.87</v>
      </c>
      <c r="F25" s="90"/>
    </row>
    <row r="26" spans="2:7" ht="33" hidden="1" customHeight="1">
      <c r="B26" s="66" t="s">
        <v>400</v>
      </c>
      <c r="C26" s="2431" t="s">
        <v>401</v>
      </c>
      <c r="D26" s="2431"/>
      <c r="E26" s="2431"/>
      <c r="F26" s="66"/>
      <c r="G26" s="66"/>
    </row>
    <row r="27" spans="2:7" ht="30" hidden="1" customHeight="1">
      <c r="C27" s="2432" t="s">
        <v>402</v>
      </c>
      <c r="D27" s="2432"/>
      <c r="E27" s="2432"/>
    </row>
    <row r="28" spans="2:7" hidden="1">
      <c r="B28" s="32"/>
      <c r="C28" s="32"/>
      <c r="E28" s="49" t="s">
        <v>405</v>
      </c>
    </row>
    <row r="29" spans="2:7" ht="16.5" hidden="1" thickBot="1">
      <c r="B29" s="32"/>
      <c r="C29" s="32"/>
      <c r="E29" s="49" t="s">
        <v>406</v>
      </c>
    </row>
    <row r="30" spans="2:7" s="71" customFormat="1" ht="39.75" hidden="1" customHeight="1">
      <c r="B30" s="33" t="s">
        <v>407</v>
      </c>
      <c r="C30" s="151" t="s">
        <v>331</v>
      </c>
      <c r="D30" s="34" t="s">
        <v>413</v>
      </c>
      <c r="E30" s="73" t="s">
        <v>412</v>
      </c>
    </row>
    <row r="31" spans="2:7" hidden="1">
      <c r="B31" s="125" t="s">
        <v>335</v>
      </c>
      <c r="C31" s="121" t="s">
        <v>302</v>
      </c>
      <c r="D31" s="108"/>
      <c r="E31" s="26"/>
    </row>
    <row r="32" spans="2:7" hidden="1">
      <c r="B32" s="127"/>
      <c r="C32" s="108" t="s">
        <v>408</v>
      </c>
      <c r="D32" s="108">
        <v>247.53</v>
      </c>
      <c r="E32" s="26">
        <f>D38</f>
        <v>228.02000000000004</v>
      </c>
    </row>
    <row r="33" spans="2:5" hidden="1">
      <c r="B33" s="128" t="s">
        <v>395</v>
      </c>
      <c r="C33" s="108" t="s">
        <v>414</v>
      </c>
      <c r="D33" s="108"/>
      <c r="E33" s="26"/>
    </row>
    <row r="34" spans="2:5" hidden="1">
      <c r="B34" s="127"/>
      <c r="C34" s="108" t="s">
        <v>409</v>
      </c>
      <c r="D34" s="108">
        <v>56.88</v>
      </c>
      <c r="E34" s="26">
        <f>-38.84+145.85</f>
        <v>107.00999999999999</v>
      </c>
    </row>
    <row r="35" spans="2:5" hidden="1">
      <c r="B35" s="127"/>
      <c r="C35" s="108" t="s">
        <v>410</v>
      </c>
      <c r="D35" s="108"/>
      <c r="E35" s="26"/>
    </row>
    <row r="36" spans="2:5" hidden="1">
      <c r="B36" s="127"/>
      <c r="C36" s="108" t="s">
        <v>154</v>
      </c>
      <c r="D36" s="121"/>
      <c r="E36" s="26"/>
    </row>
    <row r="37" spans="2:5" hidden="1">
      <c r="B37" s="127"/>
      <c r="C37" s="108" t="s">
        <v>155</v>
      </c>
      <c r="D37" s="108">
        <v>76.39</v>
      </c>
      <c r="E37" s="26">
        <v>-38.840000000000003</v>
      </c>
    </row>
    <row r="38" spans="2:5" hidden="1">
      <c r="B38" s="128"/>
      <c r="C38" s="121" t="s">
        <v>411</v>
      </c>
      <c r="D38" s="121">
        <f>D32+D34-D37</f>
        <v>228.02000000000004</v>
      </c>
      <c r="E38" s="152">
        <f>E32+E34-E37</f>
        <v>373.87</v>
      </c>
    </row>
    <row r="39" spans="2:5" hidden="1">
      <c r="B39" s="153" t="s">
        <v>337</v>
      </c>
      <c r="C39" s="121" t="s">
        <v>303</v>
      </c>
      <c r="D39" s="108"/>
      <c r="E39" s="26"/>
    </row>
    <row r="40" spans="2:5" hidden="1">
      <c r="B40" s="128"/>
      <c r="C40" s="108" t="s">
        <v>408</v>
      </c>
      <c r="D40" s="142">
        <v>661.19</v>
      </c>
      <c r="E40" s="76"/>
    </row>
    <row r="41" spans="2:5" hidden="1">
      <c r="B41" s="128" t="s">
        <v>395</v>
      </c>
      <c r="C41" s="108" t="s">
        <v>414</v>
      </c>
      <c r="D41" s="108"/>
      <c r="E41" s="26"/>
    </row>
    <row r="42" spans="2:5" hidden="1">
      <c r="B42" s="128"/>
      <c r="C42" s="108" t="s">
        <v>409</v>
      </c>
      <c r="D42" s="108">
        <v>2075.48</v>
      </c>
      <c r="E42" s="26"/>
    </row>
    <row r="43" spans="2:5" hidden="1">
      <c r="B43" s="128"/>
      <c r="C43" s="108" t="s">
        <v>410</v>
      </c>
      <c r="D43" s="108"/>
      <c r="E43" s="26"/>
    </row>
    <row r="44" spans="2:5" hidden="1">
      <c r="B44" s="128"/>
      <c r="C44" s="108" t="s">
        <v>154</v>
      </c>
      <c r="D44" s="108"/>
      <c r="E44" s="26"/>
    </row>
    <row r="45" spans="2:5" hidden="1">
      <c r="B45" s="128" t="s">
        <v>396</v>
      </c>
      <c r="C45" s="108" t="s">
        <v>155</v>
      </c>
      <c r="D45" s="142">
        <v>1933.55</v>
      </c>
      <c r="E45" s="26"/>
    </row>
    <row r="46" spans="2:5" hidden="1">
      <c r="B46" s="128"/>
      <c r="C46" s="108" t="s">
        <v>411</v>
      </c>
      <c r="D46" s="108"/>
      <c r="E46" s="26"/>
    </row>
    <row r="47" spans="2:5" hidden="1">
      <c r="B47" s="128"/>
      <c r="C47" s="121" t="s">
        <v>411</v>
      </c>
      <c r="D47" s="154">
        <f>D40+D42-D45</f>
        <v>803.12000000000012</v>
      </c>
      <c r="E47" s="155">
        <f>E40+E42-E45</f>
        <v>0</v>
      </c>
    </row>
    <row r="48" spans="2:5" ht="16.5" hidden="1" thickBot="1">
      <c r="B48" s="72"/>
      <c r="C48" s="74" t="s">
        <v>411</v>
      </c>
      <c r="D48" s="75">
        <f>D38+D47</f>
        <v>1031.1400000000001</v>
      </c>
      <c r="E48" s="77">
        <f>E38+E47</f>
        <v>373.87</v>
      </c>
    </row>
    <row r="49" hidden="1"/>
    <row r="50" hidden="1"/>
    <row r="51" hidden="1"/>
    <row r="52" hidden="1"/>
    <row r="53" hidden="1"/>
    <row r="54" hidden="1"/>
    <row r="55" hidden="1"/>
    <row r="56" hidden="1"/>
  </sheetData>
  <mergeCells count="7">
    <mergeCell ref="C26:E26"/>
    <mergeCell ref="C27:E27"/>
    <mergeCell ref="B21:B24"/>
    <mergeCell ref="B2:F2"/>
    <mergeCell ref="B3:F3"/>
    <mergeCell ref="B4:F4"/>
    <mergeCell ref="B17:B20"/>
  </mergeCells>
  <phoneticPr fontId="14" type="noConversion"/>
  <printOptions horizontalCentered="1"/>
  <pageMargins left="0" right="0" top="0.5" bottom="0.5" header="0.05" footer="0.3"/>
  <pageSetup paperSize="9" orientation="landscape" r:id="rId1"/>
  <headerFooter>
    <oddHeader>&amp;R&amp;F</oddHeader>
    <oddFooter>&amp;L&amp;P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M174"/>
  <sheetViews>
    <sheetView view="pageBreakPreview" zoomScale="60" workbookViewId="0">
      <selection activeCell="N20" sqref="N20"/>
    </sheetView>
  </sheetViews>
  <sheetFormatPr defaultRowHeight="15.75"/>
  <cols>
    <col min="1" max="2" width="9.140625" style="97"/>
    <col min="3" max="3" width="53.42578125" style="97" bestFit="1" customWidth="1"/>
    <col min="4" max="4" width="31.5703125" style="97" bestFit="1" customWidth="1"/>
    <col min="5" max="5" width="11" style="97" customWidth="1"/>
    <col min="6" max="6" width="16.140625" style="97" hidden="1" customWidth="1"/>
    <col min="7" max="7" width="0" style="97" hidden="1" customWidth="1"/>
    <col min="8" max="8" width="11.85546875" style="97" hidden="1" customWidth="1"/>
    <col min="9" max="9" width="0" style="97" hidden="1" customWidth="1"/>
    <col min="10" max="10" width="16.28515625" style="97" customWidth="1"/>
    <col min="11" max="11" width="30.5703125" style="97" bestFit="1" customWidth="1"/>
    <col min="12" max="16384" width="9.140625" style="97"/>
  </cols>
  <sheetData>
    <row r="1" spans="1:13">
      <c r="A1" s="119" t="s">
        <v>447</v>
      </c>
      <c r="B1" s="119"/>
      <c r="C1" s="119"/>
      <c r="D1" s="119"/>
      <c r="E1" s="119"/>
      <c r="F1" s="99"/>
      <c r="G1" s="94"/>
      <c r="H1" s="94"/>
      <c r="I1" s="94"/>
      <c r="J1" s="94"/>
      <c r="K1" s="244" t="s">
        <v>448</v>
      </c>
      <c r="L1" s="94"/>
      <c r="M1" s="94"/>
    </row>
    <row r="2" spans="1:13" ht="16.5" thickBot="1">
      <c r="A2" s="119" t="s">
        <v>449</v>
      </c>
      <c r="B2" s="119"/>
      <c r="C2" s="119"/>
      <c r="D2" s="119"/>
      <c r="E2" s="119"/>
      <c r="F2" s="120"/>
      <c r="G2" s="120"/>
      <c r="H2" s="120"/>
      <c r="I2" s="96" t="s">
        <v>684</v>
      </c>
      <c r="J2" s="94"/>
      <c r="K2" s="94"/>
      <c r="L2" s="94"/>
      <c r="M2" s="94"/>
    </row>
    <row r="3" spans="1:13">
      <c r="A3" s="139"/>
      <c r="B3" s="140"/>
      <c r="C3" s="2731" t="s">
        <v>450</v>
      </c>
      <c r="D3" s="2732"/>
      <c r="E3" s="2732"/>
      <c r="F3" s="2732"/>
      <c r="G3" s="2732"/>
      <c r="H3" s="2732"/>
      <c r="I3" s="2732"/>
      <c r="J3" s="2733"/>
      <c r="K3" s="141"/>
      <c r="L3" s="94"/>
      <c r="M3" s="94"/>
    </row>
    <row r="4" spans="1:13" ht="63">
      <c r="A4" s="80" t="s">
        <v>389</v>
      </c>
      <c r="B4" s="19" t="s">
        <v>455</v>
      </c>
      <c r="C4" s="19" t="s">
        <v>451</v>
      </c>
      <c r="D4" s="19" t="s">
        <v>452</v>
      </c>
      <c r="E4" s="19" t="s">
        <v>683</v>
      </c>
      <c r="F4" s="19" t="s">
        <v>685</v>
      </c>
      <c r="G4" s="19" t="s">
        <v>686</v>
      </c>
      <c r="H4" s="19" t="s">
        <v>687</v>
      </c>
      <c r="I4" s="19" t="s">
        <v>453</v>
      </c>
      <c r="J4" s="19" t="s">
        <v>688</v>
      </c>
      <c r="K4" s="46" t="s">
        <v>454</v>
      </c>
      <c r="L4" s="94"/>
      <c r="M4" s="94"/>
    </row>
    <row r="5" spans="1:13">
      <c r="A5" s="125"/>
      <c r="B5" s="85"/>
      <c r="C5" s="85"/>
      <c r="D5" s="85"/>
      <c r="E5" s="108"/>
      <c r="F5" s="121"/>
      <c r="G5" s="85"/>
      <c r="H5" s="121"/>
      <c r="I5" s="121"/>
      <c r="J5" s="15"/>
      <c r="K5" s="126"/>
      <c r="L5" s="94"/>
      <c r="M5" s="94"/>
    </row>
    <row r="6" spans="1:13">
      <c r="A6" s="127">
        <v>1</v>
      </c>
      <c r="B6" s="65" t="s">
        <v>456</v>
      </c>
      <c r="C6" s="108" t="s">
        <v>457</v>
      </c>
      <c r="D6" s="108" t="s">
        <v>458</v>
      </c>
      <c r="E6" s="65">
        <v>1100</v>
      </c>
      <c r="F6" s="108"/>
      <c r="G6" s="108"/>
      <c r="H6" s="108"/>
      <c r="I6" s="108"/>
      <c r="J6" s="65">
        <v>1100</v>
      </c>
      <c r="K6" s="126" t="s">
        <v>459</v>
      </c>
      <c r="L6" s="94"/>
      <c r="M6" s="94"/>
    </row>
    <row r="7" spans="1:13">
      <c r="A7" s="127"/>
      <c r="B7" s="65"/>
      <c r="C7" s="108" t="s">
        <v>460</v>
      </c>
      <c r="D7" s="108" t="s">
        <v>461</v>
      </c>
      <c r="E7" s="65">
        <v>1717</v>
      </c>
      <c r="F7" s="108"/>
      <c r="G7" s="108"/>
      <c r="H7" s="108"/>
      <c r="I7" s="108"/>
      <c r="J7" s="65">
        <v>1717</v>
      </c>
      <c r="K7" s="126" t="s">
        <v>462</v>
      </c>
      <c r="L7" s="94"/>
      <c r="M7" s="94"/>
    </row>
    <row r="8" spans="1:13">
      <c r="A8" s="127"/>
      <c r="B8" s="65"/>
      <c r="C8" s="108" t="s">
        <v>463</v>
      </c>
      <c r="D8" s="108"/>
      <c r="E8" s="65"/>
      <c r="F8" s="108"/>
      <c r="G8" s="108"/>
      <c r="H8" s="108"/>
      <c r="I8" s="108"/>
      <c r="J8" s="108"/>
      <c r="K8" s="126" t="s">
        <v>464</v>
      </c>
      <c r="L8" s="94"/>
      <c r="M8" s="94"/>
    </row>
    <row r="9" spans="1:13">
      <c r="A9" s="127"/>
      <c r="B9" s="65"/>
      <c r="C9" s="108" t="s">
        <v>465</v>
      </c>
      <c r="D9" s="108" t="s">
        <v>466</v>
      </c>
      <c r="E9" s="65">
        <v>66</v>
      </c>
      <c r="F9" s="108"/>
      <c r="G9" s="108"/>
      <c r="H9" s="108"/>
      <c r="I9" s="108"/>
      <c r="J9" s="65">
        <v>66</v>
      </c>
      <c r="K9" s="126" t="s">
        <v>467</v>
      </c>
      <c r="L9" s="94"/>
      <c r="M9" s="94"/>
    </row>
    <row r="10" spans="1:13">
      <c r="A10" s="127"/>
      <c r="B10" s="65"/>
      <c r="C10" s="108"/>
      <c r="D10" s="108" t="s">
        <v>468</v>
      </c>
      <c r="E10" s="65"/>
      <c r="F10" s="108"/>
      <c r="G10" s="108"/>
      <c r="H10" s="108"/>
      <c r="I10" s="108"/>
      <c r="J10" s="65"/>
      <c r="K10" s="126"/>
      <c r="L10" s="94"/>
      <c r="M10" s="94"/>
    </row>
    <row r="11" spans="1:13">
      <c r="A11" s="127"/>
      <c r="B11" s="65"/>
      <c r="C11" s="108"/>
      <c r="D11" s="108"/>
      <c r="E11" s="65"/>
      <c r="F11" s="108"/>
      <c r="G11" s="108"/>
      <c r="H11" s="108"/>
      <c r="I11" s="108"/>
      <c r="J11" s="65"/>
      <c r="K11" s="126"/>
      <c r="L11" s="94"/>
      <c r="M11" s="94"/>
    </row>
    <row r="12" spans="1:13">
      <c r="A12" s="127">
        <v>2</v>
      </c>
      <c r="B12" s="65" t="s">
        <v>469</v>
      </c>
      <c r="C12" s="108" t="s">
        <v>470</v>
      </c>
      <c r="D12" s="108" t="s">
        <v>458</v>
      </c>
      <c r="E12" s="65">
        <v>1072</v>
      </c>
      <c r="F12" s="108"/>
      <c r="G12" s="108"/>
      <c r="H12" s="108"/>
      <c r="I12" s="108"/>
      <c r="J12" s="65">
        <v>1072</v>
      </c>
      <c r="K12" s="126" t="s">
        <v>459</v>
      </c>
      <c r="L12" s="94"/>
      <c r="M12" s="94"/>
    </row>
    <row r="13" spans="1:13">
      <c r="A13" s="127"/>
      <c r="B13" s="65"/>
      <c r="C13" s="108" t="s">
        <v>471</v>
      </c>
      <c r="D13" s="108"/>
      <c r="E13" s="65"/>
      <c r="F13" s="108"/>
      <c r="G13" s="108"/>
      <c r="H13" s="108"/>
      <c r="I13" s="108"/>
      <c r="J13" s="65"/>
      <c r="K13" s="126" t="s">
        <v>472</v>
      </c>
      <c r="L13" s="94"/>
      <c r="M13" s="94"/>
    </row>
    <row r="14" spans="1:13">
      <c r="A14" s="127"/>
      <c r="B14" s="65"/>
      <c r="C14" s="20" t="s">
        <v>473</v>
      </c>
      <c r="D14" s="108" t="s">
        <v>474</v>
      </c>
      <c r="E14" s="65">
        <v>112</v>
      </c>
      <c r="F14" s="108"/>
      <c r="G14" s="108"/>
      <c r="H14" s="108"/>
      <c r="I14" s="108"/>
      <c r="J14" s="65">
        <v>112</v>
      </c>
      <c r="K14" s="126"/>
      <c r="L14" s="94"/>
      <c r="M14" s="94"/>
    </row>
    <row r="15" spans="1:13">
      <c r="A15" s="127"/>
      <c r="B15" s="65"/>
      <c r="C15" s="20" t="s">
        <v>475</v>
      </c>
      <c r="D15" s="108"/>
      <c r="E15" s="65"/>
      <c r="F15" s="108"/>
      <c r="G15" s="108"/>
      <c r="H15" s="108"/>
      <c r="I15" s="108"/>
      <c r="J15" s="65"/>
      <c r="K15" s="126"/>
      <c r="L15" s="94"/>
      <c r="M15" s="94"/>
    </row>
    <row r="16" spans="1:13">
      <c r="A16" s="127"/>
      <c r="B16" s="65"/>
      <c r="C16" s="108" t="s">
        <v>476</v>
      </c>
      <c r="D16" s="108" t="s">
        <v>477</v>
      </c>
      <c r="E16" s="65">
        <v>1301</v>
      </c>
      <c r="F16" s="108"/>
      <c r="G16" s="108"/>
      <c r="H16" s="108"/>
      <c r="I16" s="108"/>
      <c r="J16" s="65">
        <v>1301</v>
      </c>
      <c r="K16" s="126"/>
      <c r="L16" s="94"/>
      <c r="M16" s="94"/>
    </row>
    <row r="17" spans="1:13">
      <c r="A17" s="127"/>
      <c r="B17" s="65"/>
      <c r="C17" s="108" t="s">
        <v>478</v>
      </c>
      <c r="D17" s="108" t="s">
        <v>479</v>
      </c>
      <c r="E17" s="65"/>
      <c r="F17" s="108"/>
      <c r="G17" s="108"/>
      <c r="H17" s="108"/>
      <c r="I17" s="108"/>
      <c r="J17" s="65"/>
      <c r="K17" s="126"/>
      <c r="L17" s="94"/>
      <c r="M17" s="94"/>
    </row>
    <row r="18" spans="1:13">
      <c r="A18" s="127"/>
      <c r="B18" s="65"/>
      <c r="C18" s="108" t="s">
        <v>480</v>
      </c>
      <c r="D18" s="108" t="s">
        <v>481</v>
      </c>
      <c r="E18" s="65">
        <v>264</v>
      </c>
      <c r="F18" s="108"/>
      <c r="G18" s="108"/>
      <c r="H18" s="108"/>
      <c r="I18" s="108"/>
      <c r="J18" s="65">
        <v>264</v>
      </c>
      <c r="K18" s="126"/>
      <c r="L18" s="94"/>
      <c r="M18" s="94"/>
    </row>
    <row r="19" spans="1:13">
      <c r="A19" s="127"/>
      <c r="B19" s="65"/>
      <c r="C19" s="108"/>
      <c r="D19" s="108" t="s">
        <v>468</v>
      </c>
      <c r="E19" s="65"/>
      <c r="F19" s="108"/>
      <c r="G19" s="108"/>
      <c r="H19" s="108"/>
      <c r="I19" s="108"/>
      <c r="J19" s="65"/>
      <c r="K19" s="126"/>
      <c r="L19" s="94"/>
      <c r="M19" s="94"/>
    </row>
    <row r="20" spans="1:13">
      <c r="A20" s="127"/>
      <c r="B20" s="65"/>
      <c r="C20" s="108"/>
      <c r="D20" s="108"/>
      <c r="E20" s="65"/>
      <c r="F20" s="108"/>
      <c r="G20" s="108"/>
      <c r="H20" s="108"/>
      <c r="I20" s="108"/>
      <c r="J20" s="65"/>
      <c r="K20" s="126"/>
      <c r="L20" s="94"/>
      <c r="M20" s="94"/>
    </row>
    <row r="21" spans="1:13">
      <c r="A21" s="127">
        <v>3</v>
      </c>
      <c r="B21" s="65" t="s">
        <v>456</v>
      </c>
      <c r="C21" s="108" t="s">
        <v>482</v>
      </c>
      <c r="D21" s="108" t="s">
        <v>483</v>
      </c>
      <c r="E21" s="65">
        <v>1066</v>
      </c>
      <c r="F21" s="108"/>
      <c r="G21" s="108"/>
      <c r="H21" s="108"/>
      <c r="I21" s="108"/>
      <c r="J21" s="65">
        <v>1066</v>
      </c>
      <c r="K21" s="126" t="s">
        <v>459</v>
      </c>
      <c r="L21" s="94"/>
      <c r="M21" s="94"/>
    </row>
    <row r="22" spans="1:13">
      <c r="A22" s="127"/>
      <c r="B22" s="65"/>
      <c r="C22" s="108" t="s">
        <v>484</v>
      </c>
      <c r="D22" s="108" t="s">
        <v>485</v>
      </c>
      <c r="E22" s="65"/>
      <c r="F22" s="108"/>
      <c r="G22" s="108"/>
      <c r="H22" s="108"/>
      <c r="I22" s="108"/>
      <c r="J22" s="65"/>
      <c r="K22" s="126" t="s">
        <v>472</v>
      </c>
      <c r="L22" s="94"/>
      <c r="M22" s="94"/>
    </row>
    <row r="23" spans="1:13">
      <c r="A23" s="127"/>
      <c r="B23" s="65"/>
      <c r="C23" s="108" t="s">
        <v>486</v>
      </c>
      <c r="D23" s="108" t="s">
        <v>487</v>
      </c>
      <c r="E23" s="65">
        <v>66</v>
      </c>
      <c r="F23" s="108"/>
      <c r="G23" s="108"/>
      <c r="H23" s="108"/>
      <c r="I23" s="108"/>
      <c r="J23" s="65">
        <v>66</v>
      </c>
      <c r="K23" s="126"/>
      <c r="L23" s="94"/>
      <c r="M23" s="94"/>
    </row>
    <row r="24" spans="1:13">
      <c r="A24" s="127"/>
      <c r="B24" s="65"/>
      <c r="C24" s="108"/>
      <c r="D24" s="108" t="s">
        <v>468</v>
      </c>
      <c r="E24" s="65"/>
      <c r="F24" s="108"/>
      <c r="G24" s="108"/>
      <c r="H24" s="108"/>
      <c r="I24" s="108"/>
      <c r="J24" s="65"/>
      <c r="K24" s="126"/>
      <c r="L24" s="94"/>
      <c r="M24" s="94"/>
    </row>
    <row r="25" spans="1:13">
      <c r="A25" s="127"/>
      <c r="B25" s="65"/>
      <c r="C25" s="108"/>
      <c r="D25" s="108"/>
      <c r="E25" s="65"/>
      <c r="F25" s="108"/>
      <c r="G25" s="108"/>
      <c r="H25" s="108"/>
      <c r="I25" s="108"/>
      <c r="J25" s="65"/>
      <c r="K25" s="126"/>
      <c r="L25" s="94"/>
      <c r="M25" s="94"/>
    </row>
    <row r="26" spans="1:13">
      <c r="A26" s="127"/>
      <c r="B26" s="65"/>
      <c r="C26" s="108"/>
      <c r="D26" s="108"/>
      <c r="E26" s="65"/>
      <c r="F26" s="108"/>
      <c r="G26" s="108"/>
      <c r="H26" s="108"/>
      <c r="I26" s="108"/>
      <c r="J26" s="65"/>
      <c r="K26" s="126"/>
      <c r="L26" s="94"/>
      <c r="M26" s="94"/>
    </row>
    <row r="27" spans="1:13">
      <c r="A27" s="127">
        <v>4</v>
      </c>
      <c r="B27" s="65" t="s">
        <v>488</v>
      </c>
      <c r="C27" s="108" t="s">
        <v>489</v>
      </c>
      <c r="D27" s="108" t="s">
        <v>490</v>
      </c>
      <c r="E27" s="65">
        <v>1115</v>
      </c>
      <c r="F27" s="108"/>
      <c r="G27" s="108"/>
      <c r="H27" s="108"/>
      <c r="I27" s="108"/>
      <c r="J27" s="65">
        <v>1115</v>
      </c>
      <c r="K27" s="126" t="s">
        <v>459</v>
      </c>
      <c r="L27" s="94"/>
      <c r="M27" s="94"/>
    </row>
    <row r="28" spans="1:13">
      <c r="A28" s="127"/>
      <c r="B28" s="65"/>
      <c r="C28" s="108" t="s">
        <v>491</v>
      </c>
      <c r="D28" s="108" t="s">
        <v>479</v>
      </c>
      <c r="E28" s="65"/>
      <c r="F28" s="108"/>
      <c r="G28" s="108"/>
      <c r="H28" s="108"/>
      <c r="I28" s="108"/>
      <c r="J28" s="65"/>
      <c r="K28" s="126" t="s">
        <v>492</v>
      </c>
      <c r="L28" s="94"/>
      <c r="M28" s="94"/>
    </row>
    <row r="29" spans="1:13">
      <c r="A29" s="127"/>
      <c r="B29" s="65"/>
      <c r="C29" s="108" t="s">
        <v>493</v>
      </c>
      <c r="D29" s="108" t="s">
        <v>494</v>
      </c>
      <c r="E29" s="65">
        <v>132</v>
      </c>
      <c r="F29" s="108"/>
      <c r="G29" s="108"/>
      <c r="H29" s="108"/>
      <c r="I29" s="108"/>
      <c r="J29" s="65">
        <v>132</v>
      </c>
      <c r="K29" s="126"/>
      <c r="L29" s="94"/>
      <c r="M29" s="94"/>
    </row>
    <row r="30" spans="1:13">
      <c r="A30" s="127"/>
      <c r="B30" s="65"/>
      <c r="C30" s="108" t="s">
        <v>495</v>
      </c>
      <c r="D30" s="108" t="s">
        <v>496</v>
      </c>
      <c r="E30" s="65"/>
      <c r="F30" s="108"/>
      <c r="G30" s="108"/>
      <c r="H30" s="108"/>
      <c r="I30" s="108"/>
      <c r="J30" s="65"/>
      <c r="K30" s="126"/>
      <c r="L30" s="94"/>
      <c r="M30" s="94"/>
    </row>
    <row r="31" spans="1:13">
      <c r="A31" s="127"/>
      <c r="B31" s="65"/>
      <c r="C31" s="108"/>
      <c r="D31" s="108"/>
      <c r="E31" s="65"/>
      <c r="F31" s="108"/>
      <c r="G31" s="108"/>
      <c r="H31" s="108"/>
      <c r="I31" s="108"/>
      <c r="J31" s="65"/>
      <c r="K31" s="126"/>
      <c r="L31" s="94"/>
      <c r="M31" s="94"/>
    </row>
    <row r="32" spans="1:13">
      <c r="A32" s="127">
        <v>5</v>
      </c>
      <c r="B32" s="65" t="s">
        <v>497</v>
      </c>
      <c r="C32" s="108" t="s">
        <v>498</v>
      </c>
      <c r="D32" s="108" t="s">
        <v>499</v>
      </c>
      <c r="E32" s="65">
        <v>1323</v>
      </c>
      <c r="F32" s="108"/>
      <c r="G32" s="108"/>
      <c r="H32" s="108"/>
      <c r="I32" s="108"/>
      <c r="J32" s="65">
        <v>1323</v>
      </c>
      <c r="K32" s="126" t="s">
        <v>459</v>
      </c>
      <c r="L32" s="94"/>
      <c r="M32" s="94"/>
    </row>
    <row r="33" spans="1:13">
      <c r="A33" s="127"/>
      <c r="B33" s="65"/>
      <c r="C33" s="108" t="s">
        <v>500</v>
      </c>
      <c r="D33" s="108" t="s">
        <v>501</v>
      </c>
      <c r="E33" s="65"/>
      <c r="F33" s="108"/>
      <c r="G33" s="108"/>
      <c r="H33" s="108"/>
      <c r="I33" s="108"/>
      <c r="J33" s="65"/>
      <c r="K33" s="126" t="s">
        <v>502</v>
      </c>
      <c r="L33" s="94"/>
      <c r="M33" s="94"/>
    </row>
    <row r="34" spans="1:13">
      <c r="A34" s="127"/>
      <c r="B34" s="65"/>
      <c r="C34" s="108" t="s">
        <v>486</v>
      </c>
      <c r="D34" s="108" t="s">
        <v>503</v>
      </c>
      <c r="E34" s="65">
        <v>66</v>
      </c>
      <c r="F34" s="108"/>
      <c r="G34" s="108"/>
      <c r="H34" s="108"/>
      <c r="I34" s="108"/>
      <c r="J34" s="65">
        <v>66</v>
      </c>
      <c r="K34" s="126"/>
      <c r="L34" s="94"/>
      <c r="M34" s="94"/>
    </row>
    <row r="35" spans="1:13">
      <c r="A35" s="128"/>
      <c r="B35" s="108"/>
      <c r="C35" s="108"/>
      <c r="D35" s="108" t="s">
        <v>504</v>
      </c>
      <c r="E35" s="65"/>
      <c r="F35" s="108"/>
      <c r="G35" s="108"/>
      <c r="H35" s="108"/>
      <c r="I35" s="108"/>
      <c r="J35" s="65"/>
      <c r="K35" s="126"/>
      <c r="L35" s="94"/>
      <c r="M35" s="94"/>
    </row>
    <row r="36" spans="1:13">
      <c r="A36" s="128"/>
      <c r="B36" s="108"/>
      <c r="C36" s="108"/>
      <c r="D36" s="108"/>
      <c r="E36" s="65"/>
      <c r="F36" s="108"/>
      <c r="G36" s="108"/>
      <c r="H36" s="108"/>
      <c r="I36" s="108"/>
      <c r="J36" s="65"/>
      <c r="K36" s="126"/>
      <c r="L36" s="94"/>
      <c r="M36" s="94"/>
    </row>
    <row r="37" spans="1:13">
      <c r="A37" s="128">
        <v>6</v>
      </c>
      <c r="B37" s="108" t="s">
        <v>505</v>
      </c>
      <c r="C37" s="108" t="s">
        <v>506</v>
      </c>
      <c r="D37" s="108" t="s">
        <v>507</v>
      </c>
      <c r="E37" s="65">
        <v>1072</v>
      </c>
      <c r="F37" s="108"/>
      <c r="G37" s="108"/>
      <c r="H37" s="108"/>
      <c r="I37" s="108"/>
      <c r="J37" s="65">
        <v>1072</v>
      </c>
      <c r="K37" s="126" t="s">
        <v>459</v>
      </c>
      <c r="L37" s="94"/>
      <c r="M37" s="94"/>
    </row>
    <row r="38" spans="1:13">
      <c r="A38" s="128"/>
      <c r="B38" s="108"/>
      <c r="C38" s="108" t="s">
        <v>508</v>
      </c>
      <c r="D38" s="108" t="s">
        <v>509</v>
      </c>
      <c r="E38" s="65">
        <v>669</v>
      </c>
      <c r="F38" s="108"/>
      <c r="G38" s="108"/>
      <c r="H38" s="108"/>
      <c r="I38" s="108"/>
      <c r="J38" s="65">
        <v>669</v>
      </c>
      <c r="K38" s="126" t="s">
        <v>502</v>
      </c>
      <c r="L38" s="94"/>
      <c r="M38" s="94"/>
    </row>
    <row r="39" spans="1:13">
      <c r="A39" s="128"/>
      <c r="B39" s="108"/>
      <c r="C39" s="108" t="s">
        <v>510</v>
      </c>
      <c r="D39" s="108"/>
      <c r="E39" s="65"/>
      <c r="F39" s="108"/>
      <c r="G39" s="108"/>
      <c r="H39" s="108"/>
      <c r="I39" s="108"/>
      <c r="J39" s="65"/>
      <c r="K39" s="126"/>
      <c r="L39" s="94"/>
      <c r="M39" s="94"/>
    </row>
    <row r="40" spans="1:13">
      <c r="A40" s="128"/>
      <c r="B40" s="108"/>
      <c r="C40" s="108" t="s">
        <v>511</v>
      </c>
      <c r="D40" s="108" t="s">
        <v>512</v>
      </c>
      <c r="E40" s="65">
        <v>1858</v>
      </c>
      <c r="F40" s="108"/>
      <c r="G40" s="108"/>
      <c r="H40" s="108"/>
      <c r="I40" s="108"/>
      <c r="J40" s="65">
        <v>1858</v>
      </c>
      <c r="K40" s="126"/>
      <c r="L40" s="94"/>
      <c r="M40" s="94"/>
    </row>
    <row r="41" spans="1:13">
      <c r="A41" s="128"/>
      <c r="B41" s="108"/>
      <c r="C41" s="108" t="s">
        <v>513</v>
      </c>
      <c r="D41" s="108"/>
      <c r="E41" s="65"/>
      <c r="F41" s="108"/>
      <c r="G41" s="108"/>
      <c r="H41" s="108"/>
      <c r="I41" s="108"/>
      <c r="J41" s="65"/>
      <c r="K41" s="126"/>
      <c r="L41" s="94"/>
      <c r="M41" s="94"/>
    </row>
    <row r="42" spans="1:13">
      <c r="A42" s="128"/>
      <c r="B42" s="108"/>
      <c r="C42" s="108" t="s">
        <v>514</v>
      </c>
      <c r="D42" s="14" t="s">
        <v>515</v>
      </c>
      <c r="E42" s="65">
        <v>1115</v>
      </c>
      <c r="F42" s="108"/>
      <c r="G42" s="108"/>
      <c r="H42" s="108"/>
      <c r="I42" s="108"/>
      <c r="J42" s="65">
        <v>1115</v>
      </c>
      <c r="K42" s="126"/>
      <c r="L42" s="94"/>
      <c r="M42" s="94"/>
    </row>
    <row r="43" spans="1:13">
      <c r="A43" s="128"/>
      <c r="B43" s="108"/>
      <c r="C43" s="108" t="s">
        <v>516</v>
      </c>
      <c r="D43" s="108"/>
      <c r="E43" s="65"/>
      <c r="F43" s="108"/>
      <c r="G43" s="108"/>
      <c r="H43" s="108"/>
      <c r="I43" s="108"/>
      <c r="J43" s="65"/>
      <c r="K43" s="126"/>
      <c r="L43" s="94"/>
      <c r="M43" s="94"/>
    </row>
    <row r="44" spans="1:13">
      <c r="A44" s="128"/>
      <c r="B44" s="108"/>
      <c r="C44" s="108" t="s">
        <v>517</v>
      </c>
      <c r="D44" s="108" t="s">
        <v>518</v>
      </c>
      <c r="E44" s="65">
        <v>264</v>
      </c>
      <c r="F44" s="108"/>
      <c r="G44" s="108"/>
      <c r="H44" s="108"/>
      <c r="I44" s="108"/>
      <c r="J44" s="65">
        <v>264</v>
      </c>
      <c r="K44" s="126"/>
      <c r="L44" s="94"/>
      <c r="M44" s="94"/>
    </row>
    <row r="45" spans="1:13">
      <c r="A45" s="128"/>
      <c r="B45" s="108"/>
      <c r="C45" s="108"/>
      <c r="D45" s="108"/>
      <c r="E45" s="65"/>
      <c r="F45" s="108"/>
      <c r="G45" s="108"/>
      <c r="H45" s="108"/>
      <c r="I45" s="108"/>
      <c r="J45" s="65"/>
      <c r="K45" s="126"/>
      <c r="L45" s="94"/>
      <c r="M45" s="94"/>
    </row>
    <row r="46" spans="1:13">
      <c r="A46" s="128"/>
      <c r="B46" s="108"/>
      <c r="C46" s="108"/>
      <c r="D46" s="108"/>
      <c r="E46" s="65"/>
      <c r="F46" s="108"/>
      <c r="G46" s="108"/>
      <c r="H46" s="108"/>
      <c r="I46" s="108"/>
      <c r="J46" s="65"/>
      <c r="K46" s="126"/>
      <c r="L46" s="94"/>
      <c r="M46" s="94"/>
    </row>
    <row r="47" spans="1:13">
      <c r="A47" s="127">
        <v>7</v>
      </c>
      <c r="B47" s="65" t="s">
        <v>519</v>
      </c>
      <c r="C47" s="108" t="s">
        <v>520</v>
      </c>
      <c r="D47" s="108" t="s">
        <v>521</v>
      </c>
      <c r="E47" s="65">
        <v>1665</v>
      </c>
      <c r="F47" s="108"/>
      <c r="G47" s="108"/>
      <c r="H47" s="108"/>
      <c r="I47" s="108"/>
      <c r="J47" s="65">
        <v>1665</v>
      </c>
      <c r="K47" s="126" t="s">
        <v>459</v>
      </c>
      <c r="L47" s="94"/>
      <c r="M47" s="94"/>
    </row>
    <row r="48" spans="1:13">
      <c r="A48" s="127"/>
      <c r="B48" s="65"/>
      <c r="C48" s="108" t="s">
        <v>522</v>
      </c>
      <c r="D48" s="108"/>
      <c r="E48" s="65"/>
      <c r="F48" s="108"/>
      <c r="G48" s="108"/>
      <c r="H48" s="108"/>
      <c r="I48" s="108"/>
      <c r="J48" s="65"/>
      <c r="K48" s="126" t="s">
        <v>523</v>
      </c>
      <c r="L48" s="94"/>
      <c r="M48" s="94"/>
    </row>
    <row r="49" spans="1:13">
      <c r="A49" s="127"/>
      <c r="B49" s="65"/>
      <c r="C49" s="108" t="s">
        <v>495</v>
      </c>
      <c r="D49" s="108" t="s">
        <v>524</v>
      </c>
      <c r="E49" s="65">
        <v>132</v>
      </c>
      <c r="F49" s="108"/>
      <c r="G49" s="108"/>
      <c r="H49" s="108"/>
      <c r="I49" s="108"/>
      <c r="J49" s="65">
        <v>132</v>
      </c>
      <c r="K49" s="126"/>
      <c r="L49" s="94"/>
      <c r="M49" s="94"/>
    </row>
    <row r="50" spans="1:13">
      <c r="A50" s="127"/>
      <c r="B50" s="65"/>
      <c r="C50" s="108"/>
      <c r="D50" s="108" t="s">
        <v>525</v>
      </c>
      <c r="E50" s="65"/>
      <c r="F50" s="108"/>
      <c r="G50" s="108"/>
      <c r="H50" s="108"/>
      <c r="I50" s="108"/>
      <c r="J50" s="65"/>
      <c r="K50" s="126"/>
      <c r="L50" s="94"/>
      <c r="M50" s="94"/>
    </row>
    <row r="51" spans="1:13">
      <c r="A51" s="128"/>
      <c r="B51" s="108"/>
      <c r="C51" s="108"/>
      <c r="D51" s="108"/>
      <c r="E51" s="65"/>
      <c r="F51" s="108"/>
      <c r="G51" s="108"/>
      <c r="H51" s="108"/>
      <c r="I51" s="108"/>
      <c r="J51" s="65"/>
      <c r="K51" s="126"/>
      <c r="L51" s="94"/>
      <c r="M51" s="94"/>
    </row>
    <row r="52" spans="1:13">
      <c r="A52" s="127">
        <v>8</v>
      </c>
      <c r="B52" s="65" t="s">
        <v>519</v>
      </c>
      <c r="C52" s="108" t="s">
        <v>526</v>
      </c>
      <c r="D52" s="108" t="s">
        <v>527</v>
      </c>
      <c r="E52" s="65">
        <v>1100</v>
      </c>
      <c r="F52" s="108"/>
      <c r="G52" s="108"/>
      <c r="H52" s="108"/>
      <c r="I52" s="108"/>
      <c r="J52" s="65">
        <v>1100</v>
      </c>
      <c r="K52" s="129" t="s">
        <v>528</v>
      </c>
      <c r="L52" s="94"/>
      <c r="M52" s="94"/>
    </row>
    <row r="53" spans="1:13">
      <c r="A53" s="127"/>
      <c r="B53" s="65"/>
      <c r="C53" s="108" t="s">
        <v>529</v>
      </c>
      <c r="D53" s="108" t="s">
        <v>530</v>
      </c>
      <c r="E53" s="65">
        <v>409</v>
      </c>
      <c r="F53" s="108"/>
      <c r="G53" s="108"/>
      <c r="H53" s="108"/>
      <c r="I53" s="108"/>
      <c r="J53" s="65">
        <v>409</v>
      </c>
      <c r="K53" s="126"/>
      <c r="L53" s="94"/>
      <c r="M53" s="94"/>
    </row>
    <row r="54" spans="1:13">
      <c r="A54" s="127"/>
      <c r="B54" s="65"/>
      <c r="C54" s="108" t="s">
        <v>531</v>
      </c>
      <c r="D54" s="108"/>
      <c r="E54" s="65"/>
      <c r="F54" s="108"/>
      <c r="G54" s="108"/>
      <c r="H54" s="108"/>
      <c r="I54" s="108"/>
      <c r="J54" s="65"/>
      <c r="K54" s="126"/>
      <c r="L54" s="94"/>
      <c r="M54" s="94"/>
    </row>
    <row r="55" spans="1:13">
      <c r="A55" s="127"/>
      <c r="B55" s="65"/>
      <c r="C55" s="108" t="s">
        <v>532</v>
      </c>
      <c r="D55" s="108" t="s">
        <v>533</v>
      </c>
      <c r="E55" s="65">
        <v>66</v>
      </c>
      <c r="F55" s="108"/>
      <c r="G55" s="108"/>
      <c r="H55" s="108"/>
      <c r="I55" s="108"/>
      <c r="J55" s="65">
        <v>66</v>
      </c>
      <c r="K55" s="126" t="s">
        <v>464</v>
      </c>
      <c r="L55" s="94"/>
      <c r="M55" s="94"/>
    </row>
    <row r="56" spans="1:13">
      <c r="A56" s="127"/>
      <c r="B56" s="65"/>
      <c r="C56" s="108"/>
      <c r="D56" s="108" t="s">
        <v>534</v>
      </c>
      <c r="E56" s="65"/>
      <c r="F56" s="108"/>
      <c r="G56" s="108"/>
      <c r="H56" s="108"/>
      <c r="I56" s="108"/>
      <c r="J56" s="65"/>
      <c r="K56" s="126" t="s">
        <v>467</v>
      </c>
      <c r="L56" s="94"/>
      <c r="M56" s="94"/>
    </row>
    <row r="57" spans="1:13">
      <c r="A57" s="128"/>
      <c r="B57" s="108"/>
      <c r="C57" s="108"/>
      <c r="D57" s="108"/>
      <c r="E57" s="65"/>
      <c r="F57" s="108"/>
      <c r="G57" s="108"/>
      <c r="H57" s="108"/>
      <c r="I57" s="108"/>
      <c r="J57" s="65"/>
      <c r="K57" s="126"/>
      <c r="L57" s="94"/>
      <c r="M57" s="94"/>
    </row>
    <row r="58" spans="1:13">
      <c r="A58" s="127">
        <v>9</v>
      </c>
      <c r="B58" s="65" t="s">
        <v>505</v>
      </c>
      <c r="C58" s="108" t="s">
        <v>535</v>
      </c>
      <c r="D58" s="108" t="s">
        <v>536</v>
      </c>
      <c r="E58" s="65">
        <v>1100</v>
      </c>
      <c r="F58" s="108"/>
      <c r="G58" s="108"/>
      <c r="H58" s="108"/>
      <c r="I58" s="108"/>
      <c r="J58" s="65">
        <v>1100</v>
      </c>
      <c r="K58" s="126" t="s">
        <v>459</v>
      </c>
      <c r="L58" s="94"/>
      <c r="M58" s="94"/>
    </row>
    <row r="59" spans="1:13">
      <c r="A59" s="127"/>
      <c r="B59" s="65"/>
      <c r="C59" s="108" t="s">
        <v>537</v>
      </c>
      <c r="D59" s="108" t="s">
        <v>538</v>
      </c>
      <c r="E59" s="65">
        <v>743</v>
      </c>
      <c r="F59" s="108"/>
      <c r="G59" s="108"/>
      <c r="H59" s="108"/>
      <c r="I59" s="108"/>
      <c r="J59" s="65">
        <v>743</v>
      </c>
      <c r="K59" s="126" t="s">
        <v>539</v>
      </c>
      <c r="L59" s="94"/>
      <c r="M59" s="94"/>
    </row>
    <row r="60" spans="1:13">
      <c r="A60" s="127"/>
      <c r="B60" s="65"/>
      <c r="C60" s="108" t="s">
        <v>540</v>
      </c>
      <c r="D60" s="108" t="s">
        <v>479</v>
      </c>
      <c r="E60" s="65"/>
      <c r="F60" s="108"/>
      <c r="G60" s="108"/>
      <c r="H60" s="108"/>
      <c r="I60" s="108"/>
      <c r="J60" s="65"/>
      <c r="K60" s="126"/>
      <c r="L60" s="94"/>
      <c r="M60" s="94"/>
    </row>
    <row r="61" spans="1:13">
      <c r="A61" s="127"/>
      <c r="B61" s="65"/>
      <c r="C61" s="14" t="s">
        <v>541</v>
      </c>
      <c r="D61" s="14" t="s">
        <v>542</v>
      </c>
      <c r="E61" s="108">
        <v>558</v>
      </c>
      <c r="F61" s="108"/>
      <c r="G61" s="108"/>
      <c r="H61" s="108"/>
      <c r="I61" s="108"/>
      <c r="J61" s="108">
        <v>558</v>
      </c>
      <c r="K61" s="126"/>
      <c r="L61" s="94"/>
      <c r="M61" s="94"/>
    </row>
    <row r="62" spans="1:13">
      <c r="A62" s="128"/>
      <c r="B62" s="108"/>
      <c r="C62" s="108" t="s">
        <v>543</v>
      </c>
      <c r="D62" s="108" t="s">
        <v>544</v>
      </c>
      <c r="E62" s="65">
        <v>66</v>
      </c>
      <c r="F62" s="108"/>
      <c r="G62" s="108"/>
      <c r="H62" s="108"/>
      <c r="I62" s="108"/>
      <c r="J62" s="65">
        <v>66</v>
      </c>
      <c r="K62" s="126" t="s">
        <v>464</v>
      </c>
      <c r="L62" s="94"/>
      <c r="M62" s="94"/>
    </row>
    <row r="63" spans="1:13">
      <c r="A63" s="128"/>
      <c r="B63" s="108"/>
      <c r="C63" s="108"/>
      <c r="D63" s="108" t="s">
        <v>545</v>
      </c>
      <c r="E63" s="65"/>
      <c r="F63" s="108"/>
      <c r="G63" s="108"/>
      <c r="H63" s="108"/>
      <c r="I63" s="108"/>
      <c r="J63" s="65"/>
      <c r="K63" s="126" t="s">
        <v>467</v>
      </c>
      <c r="L63" s="94"/>
      <c r="M63" s="94"/>
    </row>
    <row r="64" spans="1:13">
      <c r="A64" s="128"/>
      <c r="B64" s="108"/>
      <c r="C64" s="108"/>
      <c r="D64" s="108"/>
      <c r="E64" s="65"/>
      <c r="F64" s="108"/>
      <c r="G64" s="108"/>
      <c r="H64" s="108"/>
      <c r="I64" s="108"/>
      <c r="J64" s="65"/>
      <c r="K64" s="126"/>
      <c r="L64" s="94"/>
      <c r="M64" s="94"/>
    </row>
    <row r="65" spans="1:13">
      <c r="A65" s="128">
        <v>10</v>
      </c>
      <c r="B65" s="65" t="s">
        <v>505</v>
      </c>
      <c r="C65" s="108" t="s">
        <v>546</v>
      </c>
      <c r="D65" s="108" t="s">
        <v>547</v>
      </c>
      <c r="E65" s="65">
        <v>1859</v>
      </c>
      <c r="F65" s="108"/>
      <c r="G65" s="108"/>
      <c r="H65" s="108"/>
      <c r="I65" s="108"/>
      <c r="J65" s="65">
        <v>1859</v>
      </c>
      <c r="K65" s="126" t="s">
        <v>459</v>
      </c>
      <c r="L65" s="94"/>
      <c r="M65" s="94"/>
    </row>
    <row r="66" spans="1:13">
      <c r="A66" s="128"/>
      <c r="B66" s="108"/>
      <c r="C66" s="108" t="s">
        <v>548</v>
      </c>
      <c r="D66" s="108"/>
      <c r="E66" s="65"/>
      <c r="F66" s="108"/>
      <c r="G66" s="108"/>
      <c r="H66" s="108"/>
      <c r="I66" s="108"/>
      <c r="J66" s="65"/>
      <c r="K66" s="126" t="s">
        <v>539</v>
      </c>
      <c r="L66" s="94"/>
      <c r="M66" s="94"/>
    </row>
    <row r="67" spans="1:13">
      <c r="A67" s="128"/>
      <c r="B67" s="108"/>
      <c r="C67" s="108" t="s">
        <v>549</v>
      </c>
      <c r="D67" s="108" t="s">
        <v>550</v>
      </c>
      <c r="E67" s="122" t="s">
        <v>551</v>
      </c>
      <c r="F67" s="108"/>
      <c r="G67" s="108"/>
      <c r="H67" s="108"/>
      <c r="I67" s="108"/>
      <c r="J67" s="122" t="s">
        <v>551</v>
      </c>
      <c r="K67" s="126"/>
      <c r="L67" s="94"/>
      <c r="M67" s="94"/>
    </row>
    <row r="68" spans="1:13">
      <c r="A68" s="128"/>
      <c r="B68" s="108"/>
      <c r="C68" s="108"/>
      <c r="D68" s="108"/>
      <c r="E68" s="65"/>
      <c r="F68" s="108"/>
      <c r="G68" s="108"/>
      <c r="H68" s="108"/>
      <c r="I68" s="108"/>
      <c r="J68" s="65"/>
      <c r="K68" s="126"/>
      <c r="L68" s="94"/>
      <c r="M68" s="94"/>
    </row>
    <row r="69" spans="1:13">
      <c r="A69" s="127">
        <v>11</v>
      </c>
      <c r="B69" s="65" t="s">
        <v>505</v>
      </c>
      <c r="C69" s="108" t="s">
        <v>552</v>
      </c>
      <c r="D69" s="108" t="s">
        <v>553</v>
      </c>
      <c r="E69" s="65">
        <v>743</v>
      </c>
      <c r="F69" s="108"/>
      <c r="G69" s="108"/>
      <c r="H69" s="108"/>
      <c r="I69" s="108"/>
      <c r="J69" s="65">
        <v>743</v>
      </c>
      <c r="K69" s="129" t="s">
        <v>528</v>
      </c>
      <c r="L69" s="94"/>
      <c r="M69" s="94"/>
    </row>
    <row r="70" spans="1:13">
      <c r="A70" s="127"/>
      <c r="B70" s="65"/>
      <c r="C70" s="108" t="s">
        <v>554</v>
      </c>
      <c r="D70" s="108" t="s">
        <v>479</v>
      </c>
      <c r="E70" s="65"/>
      <c r="F70" s="108"/>
      <c r="G70" s="108"/>
      <c r="H70" s="108"/>
      <c r="I70" s="108"/>
      <c r="J70" s="65"/>
      <c r="K70" s="126"/>
      <c r="L70" s="94"/>
      <c r="M70" s="94"/>
    </row>
    <row r="71" spans="1:13">
      <c r="A71" s="127"/>
      <c r="B71" s="65"/>
      <c r="C71" s="108" t="s">
        <v>555</v>
      </c>
      <c r="D71" s="108" t="s">
        <v>556</v>
      </c>
      <c r="E71" s="65">
        <v>132</v>
      </c>
      <c r="F71" s="108"/>
      <c r="G71" s="108"/>
      <c r="H71" s="108"/>
      <c r="I71" s="108"/>
      <c r="J71" s="65">
        <v>132</v>
      </c>
      <c r="K71" s="126"/>
      <c r="L71" s="94"/>
      <c r="M71" s="94"/>
    </row>
    <row r="72" spans="1:13">
      <c r="A72" s="128"/>
      <c r="B72" s="108"/>
      <c r="C72" s="108"/>
      <c r="D72" s="108" t="s">
        <v>545</v>
      </c>
      <c r="E72" s="65"/>
      <c r="F72" s="108"/>
      <c r="G72" s="108"/>
      <c r="H72" s="108"/>
      <c r="I72" s="108"/>
      <c r="J72" s="65"/>
      <c r="K72" s="126"/>
      <c r="L72" s="94"/>
      <c r="M72" s="94"/>
    </row>
    <row r="73" spans="1:13">
      <c r="A73" s="128"/>
      <c r="B73" s="108"/>
      <c r="C73" s="108"/>
      <c r="D73" s="108"/>
      <c r="E73" s="65"/>
      <c r="F73" s="108"/>
      <c r="G73" s="108"/>
      <c r="H73" s="108"/>
      <c r="I73" s="108"/>
      <c r="J73" s="65"/>
      <c r="K73" s="126"/>
      <c r="L73" s="94"/>
      <c r="M73" s="94"/>
    </row>
    <row r="74" spans="1:13">
      <c r="A74" s="128"/>
      <c r="B74" s="108"/>
      <c r="C74" s="108"/>
      <c r="D74" s="108"/>
      <c r="E74" s="65"/>
      <c r="F74" s="108"/>
      <c r="G74" s="108"/>
      <c r="H74" s="108"/>
      <c r="I74" s="108"/>
      <c r="J74" s="65"/>
      <c r="K74" s="126"/>
      <c r="L74" s="94"/>
      <c r="M74" s="94"/>
    </row>
    <row r="75" spans="1:13">
      <c r="A75" s="128">
        <v>12</v>
      </c>
      <c r="B75" s="65" t="s">
        <v>557</v>
      </c>
      <c r="C75" s="108" t="s">
        <v>558</v>
      </c>
      <c r="D75" s="108" t="s">
        <v>536</v>
      </c>
      <c r="E75" s="65">
        <v>1072</v>
      </c>
      <c r="F75" s="108"/>
      <c r="G75" s="108"/>
      <c r="H75" s="108"/>
      <c r="I75" s="108"/>
      <c r="J75" s="65">
        <v>1072</v>
      </c>
      <c r="K75" s="126" t="s">
        <v>559</v>
      </c>
      <c r="L75" s="94"/>
      <c r="M75" s="94"/>
    </row>
    <row r="76" spans="1:13">
      <c r="A76" s="128"/>
      <c r="B76" s="65"/>
      <c r="C76" s="108" t="s">
        <v>560</v>
      </c>
      <c r="D76" s="108" t="s">
        <v>561</v>
      </c>
      <c r="E76" s="65">
        <v>37</v>
      </c>
      <c r="F76" s="108"/>
      <c r="G76" s="108"/>
      <c r="H76" s="108"/>
      <c r="I76" s="108"/>
      <c r="J76" s="65">
        <v>37</v>
      </c>
      <c r="K76" s="126" t="s">
        <v>562</v>
      </c>
      <c r="L76" s="94"/>
      <c r="M76" s="94"/>
    </row>
    <row r="77" spans="1:13">
      <c r="A77" s="128"/>
      <c r="B77" s="65"/>
      <c r="C77" s="108" t="s">
        <v>563</v>
      </c>
      <c r="D77" s="108"/>
      <c r="E77" s="65"/>
      <c r="F77" s="108"/>
      <c r="G77" s="108"/>
      <c r="H77" s="108"/>
      <c r="I77" s="108"/>
      <c r="J77" s="65"/>
      <c r="K77" s="126"/>
      <c r="L77" s="94"/>
      <c r="M77" s="94"/>
    </row>
    <row r="78" spans="1:13">
      <c r="A78" s="128"/>
      <c r="B78" s="65"/>
      <c r="C78" s="108" t="s">
        <v>564</v>
      </c>
      <c r="D78" s="108" t="s">
        <v>565</v>
      </c>
      <c r="E78" s="65">
        <v>132</v>
      </c>
      <c r="F78" s="108"/>
      <c r="G78" s="108"/>
      <c r="H78" s="108"/>
      <c r="I78" s="108"/>
      <c r="J78" s="65">
        <v>132</v>
      </c>
      <c r="K78" s="126"/>
      <c r="L78" s="94"/>
      <c r="M78" s="94"/>
    </row>
    <row r="79" spans="1:13">
      <c r="A79" s="128"/>
      <c r="B79" s="65"/>
      <c r="C79" s="108"/>
      <c r="D79" s="108"/>
      <c r="E79" s="65"/>
      <c r="F79" s="108"/>
      <c r="G79" s="108"/>
      <c r="H79" s="108"/>
      <c r="I79" s="108"/>
      <c r="J79" s="65"/>
      <c r="K79" s="126"/>
      <c r="L79" s="94"/>
      <c r="M79" s="94"/>
    </row>
    <row r="80" spans="1:13">
      <c r="A80" s="128">
        <v>13</v>
      </c>
      <c r="B80" s="65" t="s">
        <v>488</v>
      </c>
      <c r="C80" s="108" t="s">
        <v>566</v>
      </c>
      <c r="D80" s="108" t="s">
        <v>536</v>
      </c>
      <c r="E80" s="65">
        <v>1072</v>
      </c>
      <c r="F80" s="108"/>
      <c r="G80" s="108"/>
      <c r="H80" s="108"/>
      <c r="I80" s="108"/>
      <c r="J80" s="65">
        <v>1072</v>
      </c>
      <c r="K80" s="126" t="s">
        <v>559</v>
      </c>
      <c r="L80" s="94"/>
      <c r="M80" s="94"/>
    </row>
    <row r="81" spans="1:13">
      <c r="A81" s="128"/>
      <c r="B81" s="65"/>
      <c r="C81" s="108" t="s">
        <v>567</v>
      </c>
      <c r="D81" s="108" t="s">
        <v>568</v>
      </c>
      <c r="E81" s="65">
        <v>37</v>
      </c>
      <c r="F81" s="108"/>
      <c r="G81" s="108"/>
      <c r="H81" s="108"/>
      <c r="I81" s="108"/>
      <c r="J81" s="65">
        <v>37</v>
      </c>
      <c r="K81" s="126" t="s">
        <v>569</v>
      </c>
      <c r="L81" s="94"/>
      <c r="M81" s="94"/>
    </row>
    <row r="82" spans="1:13">
      <c r="A82" s="127"/>
      <c r="B82" s="65"/>
      <c r="C82" s="108" t="s">
        <v>570</v>
      </c>
      <c r="D82" s="108"/>
      <c r="E82" s="65"/>
      <c r="F82" s="108"/>
      <c r="G82" s="108"/>
      <c r="H82" s="108"/>
      <c r="I82" s="108"/>
      <c r="J82" s="65"/>
      <c r="K82" s="126"/>
      <c r="L82" s="94"/>
      <c r="M82" s="94"/>
    </row>
    <row r="83" spans="1:13">
      <c r="A83" s="128"/>
      <c r="B83" s="65"/>
      <c r="C83" s="108" t="s">
        <v>532</v>
      </c>
      <c r="D83" s="108" t="s">
        <v>571</v>
      </c>
      <c r="E83" s="65">
        <v>132</v>
      </c>
      <c r="F83" s="108"/>
      <c r="G83" s="108"/>
      <c r="H83" s="108"/>
      <c r="I83" s="108"/>
      <c r="J83" s="65">
        <v>132</v>
      </c>
      <c r="K83" s="126"/>
      <c r="L83" s="94"/>
      <c r="M83" s="94"/>
    </row>
    <row r="84" spans="1:13">
      <c r="A84" s="128"/>
      <c r="B84" s="65"/>
      <c r="C84" s="108"/>
      <c r="D84" s="108"/>
      <c r="E84" s="65"/>
      <c r="F84" s="108"/>
      <c r="G84" s="108"/>
      <c r="H84" s="108"/>
      <c r="I84" s="108"/>
      <c r="J84" s="65"/>
      <c r="K84" s="126"/>
      <c r="L84" s="94"/>
      <c r="M84" s="94"/>
    </row>
    <row r="85" spans="1:13">
      <c r="A85" s="127">
        <v>14</v>
      </c>
      <c r="B85" s="65" t="s">
        <v>505</v>
      </c>
      <c r="C85" s="108" t="s">
        <v>572</v>
      </c>
      <c r="D85" s="108" t="s">
        <v>536</v>
      </c>
      <c r="E85" s="65">
        <v>1072</v>
      </c>
      <c r="F85" s="108"/>
      <c r="G85" s="108"/>
      <c r="H85" s="108"/>
      <c r="I85" s="108"/>
      <c r="J85" s="65">
        <v>1072</v>
      </c>
      <c r="K85" s="126" t="s">
        <v>559</v>
      </c>
      <c r="L85" s="94"/>
      <c r="M85" s="94"/>
    </row>
    <row r="86" spans="1:13">
      <c r="A86" s="128"/>
      <c r="B86" s="108"/>
      <c r="C86" s="108" t="s">
        <v>573</v>
      </c>
      <c r="D86" s="108" t="s">
        <v>574</v>
      </c>
      <c r="E86" s="65">
        <v>186</v>
      </c>
      <c r="F86" s="108"/>
      <c r="G86" s="108"/>
      <c r="H86" s="108"/>
      <c r="I86" s="108"/>
      <c r="J86" s="65">
        <v>186</v>
      </c>
      <c r="K86" s="126" t="s">
        <v>575</v>
      </c>
      <c r="L86" s="94"/>
      <c r="M86" s="94"/>
    </row>
    <row r="87" spans="1:13">
      <c r="A87" s="128"/>
      <c r="B87" s="108"/>
      <c r="C87" s="108" t="s">
        <v>576</v>
      </c>
      <c r="D87" s="108"/>
      <c r="E87" s="65"/>
      <c r="F87" s="108"/>
      <c r="G87" s="108"/>
      <c r="H87" s="108"/>
      <c r="I87" s="108"/>
      <c r="J87" s="65"/>
      <c r="K87" s="126"/>
      <c r="L87" s="94"/>
      <c r="M87" s="94"/>
    </row>
    <row r="88" spans="1:13">
      <c r="A88" s="128"/>
      <c r="B88" s="108"/>
      <c r="C88" s="108" t="s">
        <v>532</v>
      </c>
      <c r="D88" s="108" t="s">
        <v>571</v>
      </c>
      <c r="E88" s="65">
        <v>132</v>
      </c>
      <c r="F88" s="108"/>
      <c r="G88" s="108"/>
      <c r="H88" s="108"/>
      <c r="I88" s="108"/>
      <c r="J88" s="65">
        <v>132</v>
      </c>
      <c r="K88" s="126"/>
      <c r="L88" s="94"/>
      <c r="M88" s="94"/>
    </row>
    <row r="89" spans="1:13">
      <c r="A89" s="128"/>
      <c r="B89" s="108"/>
      <c r="C89" s="108"/>
      <c r="D89" s="108"/>
      <c r="E89" s="65"/>
      <c r="F89" s="108"/>
      <c r="G89" s="108"/>
      <c r="H89" s="108"/>
      <c r="I89" s="108"/>
      <c r="J89" s="65"/>
      <c r="K89" s="126"/>
      <c r="L89" s="94"/>
      <c r="M89" s="94"/>
    </row>
    <row r="90" spans="1:13">
      <c r="A90" s="128">
        <v>15</v>
      </c>
      <c r="B90" s="108" t="s">
        <v>505</v>
      </c>
      <c r="C90" s="108" t="s">
        <v>577</v>
      </c>
      <c r="D90" s="108" t="s">
        <v>536</v>
      </c>
      <c r="E90" s="65">
        <v>1072</v>
      </c>
      <c r="F90" s="108"/>
      <c r="G90" s="108"/>
      <c r="H90" s="108"/>
      <c r="I90" s="108"/>
      <c r="J90" s="65">
        <v>1072</v>
      </c>
      <c r="K90" s="126" t="s">
        <v>559</v>
      </c>
      <c r="L90" s="94"/>
      <c r="M90" s="94"/>
    </row>
    <row r="91" spans="1:13">
      <c r="A91" s="128"/>
      <c r="B91" s="108"/>
      <c r="C91" s="108" t="s">
        <v>578</v>
      </c>
      <c r="D91" s="108" t="s">
        <v>561</v>
      </c>
      <c r="E91" s="65">
        <v>372</v>
      </c>
      <c r="F91" s="108"/>
      <c r="G91" s="108"/>
      <c r="H91" s="108"/>
      <c r="I91" s="108"/>
      <c r="J91" s="65">
        <v>372</v>
      </c>
      <c r="K91" s="126" t="s">
        <v>579</v>
      </c>
      <c r="L91" s="94"/>
      <c r="M91" s="94"/>
    </row>
    <row r="92" spans="1:13">
      <c r="A92" s="127"/>
      <c r="B92" s="65"/>
      <c r="C92" s="108" t="s">
        <v>580</v>
      </c>
      <c r="D92" s="108"/>
      <c r="E92" s="65"/>
      <c r="F92" s="108"/>
      <c r="G92" s="108"/>
      <c r="H92" s="108"/>
      <c r="I92" s="108"/>
      <c r="J92" s="65"/>
      <c r="K92" s="126"/>
      <c r="L92" s="94"/>
      <c r="M92" s="94"/>
    </row>
    <row r="93" spans="1:13">
      <c r="A93" s="128"/>
      <c r="B93" s="108"/>
      <c r="C93" s="108" t="s">
        <v>532</v>
      </c>
      <c r="D93" s="108" t="s">
        <v>571</v>
      </c>
      <c r="E93" s="65">
        <v>132</v>
      </c>
      <c r="F93" s="108"/>
      <c r="G93" s="108"/>
      <c r="H93" s="108"/>
      <c r="I93" s="108"/>
      <c r="J93" s="65">
        <v>132</v>
      </c>
      <c r="K93" s="126"/>
      <c r="L93" s="94"/>
      <c r="M93" s="94"/>
    </row>
    <row r="94" spans="1:13">
      <c r="A94" s="128"/>
      <c r="B94" s="108"/>
      <c r="C94" s="108"/>
      <c r="D94" s="108"/>
      <c r="E94" s="65"/>
      <c r="F94" s="108"/>
      <c r="G94" s="108"/>
      <c r="H94" s="108"/>
      <c r="I94" s="108"/>
      <c r="J94" s="65"/>
      <c r="K94" s="126"/>
      <c r="L94" s="94"/>
      <c r="M94" s="94"/>
    </row>
    <row r="95" spans="1:13">
      <c r="A95" s="128">
        <v>16</v>
      </c>
      <c r="B95" s="108" t="s">
        <v>505</v>
      </c>
      <c r="C95" s="108" t="s">
        <v>581</v>
      </c>
      <c r="D95" s="108" t="s">
        <v>536</v>
      </c>
      <c r="E95" s="65">
        <v>1072</v>
      </c>
      <c r="F95" s="108"/>
      <c r="G95" s="108"/>
      <c r="H95" s="108"/>
      <c r="I95" s="108"/>
      <c r="J95" s="65">
        <v>1072</v>
      </c>
      <c r="K95" s="126" t="s">
        <v>559</v>
      </c>
      <c r="L95" s="94"/>
      <c r="M95" s="94"/>
    </row>
    <row r="96" spans="1:13">
      <c r="A96" s="128"/>
      <c r="B96" s="108"/>
      <c r="C96" s="108" t="s">
        <v>582</v>
      </c>
      <c r="D96" s="108" t="s">
        <v>583</v>
      </c>
      <c r="E96" s="65">
        <v>74</v>
      </c>
      <c r="F96" s="108"/>
      <c r="G96" s="108"/>
      <c r="H96" s="108"/>
      <c r="I96" s="108"/>
      <c r="J96" s="65">
        <v>74</v>
      </c>
      <c r="K96" s="126" t="s">
        <v>584</v>
      </c>
      <c r="L96" s="94"/>
      <c r="M96" s="94"/>
    </row>
    <row r="97" spans="1:13">
      <c r="A97" s="127"/>
      <c r="B97" s="65"/>
      <c r="C97" s="108" t="s">
        <v>585</v>
      </c>
      <c r="D97" s="108"/>
      <c r="E97" s="123"/>
      <c r="F97" s="108"/>
      <c r="G97" s="108"/>
      <c r="H97" s="108"/>
      <c r="I97" s="108"/>
      <c r="J97" s="123"/>
      <c r="K97" s="126"/>
      <c r="L97" s="94"/>
      <c r="M97" s="94"/>
    </row>
    <row r="98" spans="1:13">
      <c r="A98" s="128"/>
      <c r="B98" s="108"/>
      <c r="C98" s="108" t="s">
        <v>532</v>
      </c>
      <c r="D98" s="108" t="s">
        <v>571</v>
      </c>
      <c r="E98" s="65">
        <v>132</v>
      </c>
      <c r="F98" s="108"/>
      <c r="G98" s="108"/>
      <c r="H98" s="108"/>
      <c r="I98" s="108"/>
      <c r="J98" s="65">
        <v>132</v>
      </c>
      <c r="K98" s="126"/>
      <c r="L98" s="94"/>
      <c r="M98" s="94"/>
    </row>
    <row r="99" spans="1:13">
      <c r="A99" s="128"/>
      <c r="B99" s="108"/>
      <c r="C99" s="108"/>
      <c r="D99" s="108"/>
      <c r="E99" s="65"/>
      <c r="F99" s="108"/>
      <c r="G99" s="108"/>
      <c r="H99" s="108"/>
      <c r="I99" s="108"/>
      <c r="J99" s="65"/>
      <c r="K99" s="126"/>
      <c r="L99" s="94"/>
      <c r="M99" s="94"/>
    </row>
    <row r="100" spans="1:13">
      <c r="A100" s="128">
        <v>17</v>
      </c>
      <c r="B100" s="108" t="s">
        <v>586</v>
      </c>
      <c r="C100" s="108" t="s">
        <v>587</v>
      </c>
      <c r="D100" s="108" t="s">
        <v>588</v>
      </c>
      <c r="E100" s="65">
        <v>886</v>
      </c>
      <c r="F100" s="108"/>
      <c r="G100" s="108"/>
      <c r="H100" s="108"/>
      <c r="I100" s="108"/>
      <c r="J100" s="65">
        <v>886</v>
      </c>
      <c r="K100" s="126" t="s">
        <v>589</v>
      </c>
      <c r="L100" s="94"/>
      <c r="M100" s="94"/>
    </row>
    <row r="101" spans="1:13">
      <c r="A101" s="128"/>
      <c r="B101" s="108"/>
      <c r="C101" s="108" t="s">
        <v>590</v>
      </c>
      <c r="D101" s="108"/>
      <c r="E101" s="65"/>
      <c r="F101" s="108"/>
      <c r="G101" s="108"/>
      <c r="H101" s="108"/>
      <c r="I101" s="108"/>
      <c r="J101" s="65"/>
      <c r="K101" s="126" t="s">
        <v>591</v>
      </c>
      <c r="L101" s="94"/>
      <c r="M101" s="94"/>
    </row>
    <row r="102" spans="1:13">
      <c r="A102" s="128"/>
      <c r="B102" s="108"/>
      <c r="C102" s="108"/>
      <c r="D102" s="108"/>
      <c r="E102" s="65"/>
      <c r="F102" s="108"/>
      <c r="G102" s="108"/>
      <c r="H102" s="108"/>
      <c r="I102" s="108"/>
      <c r="J102" s="65"/>
      <c r="K102" s="126" t="s">
        <v>592</v>
      </c>
      <c r="L102" s="94"/>
      <c r="M102" s="94"/>
    </row>
    <row r="103" spans="1:13">
      <c r="A103" s="128"/>
      <c r="B103" s="108"/>
      <c r="C103" s="108"/>
      <c r="D103" s="108"/>
      <c r="E103" s="65"/>
      <c r="F103" s="108"/>
      <c r="G103" s="108"/>
      <c r="H103" s="108"/>
      <c r="I103" s="108"/>
      <c r="J103" s="65"/>
      <c r="K103" s="126" t="s">
        <v>593</v>
      </c>
      <c r="L103" s="94"/>
      <c r="M103" s="94"/>
    </row>
    <row r="104" spans="1:13">
      <c r="A104" s="128"/>
      <c r="B104" s="108"/>
      <c r="C104" s="108"/>
      <c r="D104" s="108"/>
      <c r="E104" s="65"/>
      <c r="F104" s="108"/>
      <c r="G104" s="108"/>
      <c r="H104" s="108"/>
      <c r="I104" s="108"/>
      <c r="J104" s="65"/>
      <c r="K104" s="126"/>
      <c r="L104" s="94"/>
      <c r="M104" s="94"/>
    </row>
    <row r="105" spans="1:13">
      <c r="A105" s="128">
        <v>18</v>
      </c>
      <c r="B105" s="108" t="s">
        <v>586</v>
      </c>
      <c r="C105" s="108" t="s">
        <v>594</v>
      </c>
      <c r="D105" s="108" t="s">
        <v>588</v>
      </c>
      <c r="E105" s="65">
        <v>886</v>
      </c>
      <c r="F105" s="108"/>
      <c r="G105" s="108"/>
      <c r="H105" s="108"/>
      <c r="I105" s="108"/>
      <c r="J105" s="65">
        <v>886</v>
      </c>
      <c r="K105" s="126" t="s">
        <v>595</v>
      </c>
      <c r="L105" s="94"/>
      <c r="M105" s="94"/>
    </row>
    <row r="106" spans="1:13">
      <c r="A106" s="128"/>
      <c r="B106" s="108"/>
      <c r="C106" s="108" t="s">
        <v>590</v>
      </c>
      <c r="D106" s="108"/>
      <c r="E106" s="65"/>
      <c r="F106" s="108"/>
      <c r="G106" s="108"/>
      <c r="H106" s="108"/>
      <c r="I106" s="108"/>
      <c r="J106" s="65"/>
      <c r="K106" s="126" t="s">
        <v>596</v>
      </c>
      <c r="L106" s="94"/>
      <c r="M106" s="94"/>
    </row>
    <row r="107" spans="1:13">
      <c r="A107" s="127"/>
      <c r="B107" s="65"/>
      <c r="C107" s="108"/>
      <c r="D107" s="108"/>
      <c r="E107" s="65"/>
      <c r="F107" s="108"/>
      <c r="G107" s="108"/>
      <c r="H107" s="108"/>
      <c r="I107" s="108"/>
      <c r="J107" s="65"/>
      <c r="K107" s="126"/>
      <c r="L107" s="94"/>
      <c r="M107" s="94"/>
    </row>
    <row r="108" spans="1:13">
      <c r="A108" s="128">
        <v>19</v>
      </c>
      <c r="B108" s="108" t="s">
        <v>557</v>
      </c>
      <c r="C108" s="108" t="s">
        <v>597</v>
      </c>
      <c r="D108" s="108" t="s">
        <v>598</v>
      </c>
      <c r="E108" s="65">
        <v>886</v>
      </c>
      <c r="F108" s="108"/>
      <c r="G108" s="108"/>
      <c r="H108" s="108"/>
      <c r="I108" s="108"/>
      <c r="J108" s="65">
        <v>886</v>
      </c>
      <c r="K108" s="126" t="s">
        <v>599</v>
      </c>
      <c r="L108" s="94"/>
      <c r="M108" s="94"/>
    </row>
    <row r="109" spans="1:13">
      <c r="A109" s="128"/>
      <c r="B109" s="108"/>
      <c r="C109" s="108" t="s">
        <v>600</v>
      </c>
      <c r="D109" s="108"/>
      <c r="E109" s="65"/>
      <c r="F109" s="108"/>
      <c r="G109" s="108"/>
      <c r="H109" s="108"/>
      <c r="I109" s="108"/>
      <c r="J109" s="65"/>
      <c r="K109" s="126" t="s">
        <v>601</v>
      </c>
      <c r="L109" s="94"/>
      <c r="M109" s="94"/>
    </row>
    <row r="110" spans="1:13">
      <c r="A110" s="128"/>
      <c r="B110" s="108"/>
      <c r="C110" s="108"/>
      <c r="D110" s="108"/>
      <c r="E110" s="65"/>
      <c r="F110" s="108"/>
      <c r="G110" s="108"/>
      <c r="H110" s="108"/>
      <c r="I110" s="108"/>
      <c r="J110" s="65"/>
      <c r="K110" s="126"/>
      <c r="L110" s="94"/>
      <c r="M110" s="94"/>
    </row>
    <row r="111" spans="1:13">
      <c r="A111" s="128">
        <v>20</v>
      </c>
      <c r="B111" s="108" t="s">
        <v>602</v>
      </c>
      <c r="C111" s="108" t="s">
        <v>603</v>
      </c>
      <c r="D111" s="108" t="s">
        <v>604</v>
      </c>
      <c r="E111" s="65">
        <v>1327</v>
      </c>
      <c r="F111" s="108"/>
      <c r="G111" s="108"/>
      <c r="H111" s="108"/>
      <c r="I111" s="108"/>
      <c r="J111" s="65">
        <v>1327</v>
      </c>
      <c r="K111" s="126" t="s">
        <v>605</v>
      </c>
      <c r="L111" s="94"/>
      <c r="M111" s="94"/>
    </row>
    <row r="112" spans="1:13">
      <c r="A112" s="127"/>
      <c r="B112" s="65"/>
      <c r="C112" s="108" t="s">
        <v>606</v>
      </c>
      <c r="D112" s="108" t="s">
        <v>607</v>
      </c>
      <c r="E112" s="65">
        <v>1301</v>
      </c>
      <c r="F112" s="108"/>
      <c r="G112" s="108"/>
      <c r="H112" s="108"/>
      <c r="I112" s="108"/>
      <c r="J112" s="65">
        <v>1301</v>
      </c>
      <c r="K112" s="126" t="s">
        <v>608</v>
      </c>
      <c r="L112" s="94"/>
      <c r="M112" s="94"/>
    </row>
    <row r="113" spans="1:13">
      <c r="A113" s="128"/>
      <c r="B113" s="108"/>
      <c r="C113" s="108" t="s">
        <v>609</v>
      </c>
      <c r="D113" s="108"/>
      <c r="E113" s="65"/>
      <c r="F113" s="108"/>
      <c r="G113" s="108"/>
      <c r="H113" s="108"/>
      <c r="I113" s="108"/>
      <c r="J113" s="65"/>
      <c r="K113" s="126" t="s">
        <v>610</v>
      </c>
      <c r="L113" s="94"/>
      <c r="M113" s="94"/>
    </row>
    <row r="114" spans="1:13">
      <c r="A114" s="128"/>
      <c r="B114" s="108"/>
      <c r="C114" s="108" t="s">
        <v>532</v>
      </c>
      <c r="D114" s="108" t="s">
        <v>611</v>
      </c>
      <c r="E114" s="65"/>
      <c r="F114" s="108"/>
      <c r="G114" s="108"/>
      <c r="H114" s="108"/>
      <c r="I114" s="108"/>
      <c r="J114" s="65"/>
      <c r="K114" s="126" t="s">
        <v>612</v>
      </c>
      <c r="L114" s="94"/>
      <c r="M114" s="94"/>
    </row>
    <row r="115" spans="1:13">
      <c r="A115" s="128"/>
      <c r="B115" s="108"/>
      <c r="C115" s="108"/>
      <c r="D115" s="108"/>
      <c r="E115" s="65"/>
      <c r="F115" s="108"/>
      <c r="G115" s="108"/>
      <c r="H115" s="108"/>
      <c r="I115" s="108"/>
      <c r="J115" s="65"/>
      <c r="K115" s="126"/>
      <c r="L115" s="94"/>
      <c r="M115" s="94"/>
    </row>
    <row r="116" spans="1:13">
      <c r="A116" s="128">
        <v>21</v>
      </c>
      <c r="B116" s="108" t="s">
        <v>456</v>
      </c>
      <c r="C116" s="108" t="s">
        <v>613</v>
      </c>
      <c r="D116" s="108" t="s">
        <v>604</v>
      </c>
      <c r="E116" s="65">
        <v>1327</v>
      </c>
      <c r="F116" s="108"/>
      <c r="G116" s="108"/>
      <c r="H116" s="108"/>
      <c r="I116" s="108"/>
      <c r="J116" s="65">
        <v>1327</v>
      </c>
      <c r="K116" s="129" t="s">
        <v>614</v>
      </c>
      <c r="L116" s="94"/>
      <c r="M116" s="94"/>
    </row>
    <row r="117" spans="1:13">
      <c r="A117" s="128"/>
      <c r="B117" s="108"/>
      <c r="C117" s="108" t="s">
        <v>615</v>
      </c>
      <c r="D117" s="108" t="s">
        <v>616</v>
      </c>
      <c r="E117" s="65">
        <v>1115</v>
      </c>
      <c r="F117" s="108"/>
      <c r="G117" s="108"/>
      <c r="H117" s="108"/>
      <c r="I117" s="108"/>
      <c r="J117" s="65">
        <v>1115</v>
      </c>
      <c r="K117" s="126"/>
      <c r="L117" s="94"/>
      <c r="M117" s="94"/>
    </row>
    <row r="118" spans="1:13">
      <c r="A118" s="128"/>
      <c r="B118" s="108"/>
      <c r="C118" s="108" t="s">
        <v>617</v>
      </c>
      <c r="D118" s="108"/>
      <c r="E118" s="65"/>
      <c r="F118" s="108"/>
      <c r="G118" s="108"/>
      <c r="H118" s="108"/>
      <c r="I118" s="108"/>
      <c r="J118" s="65"/>
      <c r="K118" s="126"/>
      <c r="L118" s="94"/>
      <c r="M118" s="94"/>
    </row>
    <row r="119" spans="1:13">
      <c r="A119" s="128"/>
      <c r="B119" s="108"/>
      <c r="C119" s="108" t="s">
        <v>532</v>
      </c>
      <c r="D119" s="108" t="s">
        <v>618</v>
      </c>
      <c r="E119" s="65"/>
      <c r="F119" s="108"/>
      <c r="G119" s="108"/>
      <c r="H119" s="108"/>
      <c r="I119" s="108"/>
      <c r="J119" s="65"/>
      <c r="K119" s="126"/>
      <c r="L119" s="94"/>
      <c r="M119" s="94"/>
    </row>
    <row r="120" spans="1:13">
      <c r="A120" s="128"/>
      <c r="B120" s="108"/>
      <c r="C120" s="108"/>
      <c r="D120" s="108"/>
      <c r="E120" s="65"/>
      <c r="F120" s="108"/>
      <c r="G120" s="108"/>
      <c r="H120" s="108"/>
      <c r="I120" s="108"/>
      <c r="J120" s="65"/>
      <c r="K120" s="126"/>
      <c r="L120" s="94"/>
      <c r="M120" s="94"/>
    </row>
    <row r="121" spans="1:13">
      <c r="A121" s="128">
        <v>22</v>
      </c>
      <c r="B121" s="108" t="s">
        <v>519</v>
      </c>
      <c r="C121" s="108" t="s">
        <v>619</v>
      </c>
      <c r="D121" s="108" t="s">
        <v>604</v>
      </c>
      <c r="E121" s="65">
        <v>1072</v>
      </c>
      <c r="F121" s="108"/>
      <c r="G121" s="108"/>
      <c r="H121" s="108"/>
      <c r="I121" s="108"/>
      <c r="J121" s="65">
        <v>1072</v>
      </c>
      <c r="K121" s="126" t="s">
        <v>620</v>
      </c>
      <c r="L121" s="94"/>
      <c r="M121" s="94"/>
    </row>
    <row r="122" spans="1:13">
      <c r="A122" s="128"/>
      <c r="B122" s="108"/>
      <c r="C122" s="108" t="s">
        <v>621</v>
      </c>
      <c r="D122" s="108" t="s">
        <v>622</v>
      </c>
      <c r="E122" s="65">
        <v>93</v>
      </c>
      <c r="F122" s="108"/>
      <c r="G122" s="108"/>
      <c r="H122" s="108"/>
      <c r="I122" s="108"/>
      <c r="J122" s="65">
        <v>93</v>
      </c>
      <c r="K122" s="126"/>
      <c r="L122" s="94"/>
      <c r="M122" s="94"/>
    </row>
    <row r="123" spans="1:13">
      <c r="A123" s="128"/>
      <c r="B123" s="108"/>
      <c r="C123" s="108" t="s">
        <v>623</v>
      </c>
      <c r="D123" s="108"/>
      <c r="E123" s="65">
        <v>132</v>
      </c>
      <c r="F123" s="108"/>
      <c r="G123" s="108"/>
      <c r="H123" s="108"/>
      <c r="I123" s="108"/>
      <c r="J123" s="65">
        <v>132</v>
      </c>
      <c r="K123" s="126"/>
      <c r="L123" s="94"/>
      <c r="M123" s="94"/>
    </row>
    <row r="124" spans="1:13">
      <c r="A124" s="128"/>
      <c r="B124" s="108"/>
      <c r="C124" s="108" t="s">
        <v>532</v>
      </c>
      <c r="D124" s="108" t="s">
        <v>624</v>
      </c>
      <c r="E124" s="65"/>
      <c r="F124" s="108"/>
      <c r="G124" s="108"/>
      <c r="H124" s="108"/>
      <c r="I124" s="108"/>
      <c r="J124" s="65"/>
      <c r="K124" s="126"/>
      <c r="L124" s="94"/>
      <c r="M124" s="94"/>
    </row>
    <row r="125" spans="1:13">
      <c r="A125" s="128"/>
      <c r="B125" s="108"/>
      <c r="C125" s="108"/>
      <c r="D125" s="108"/>
      <c r="E125" s="65"/>
      <c r="F125" s="108"/>
      <c r="G125" s="108"/>
      <c r="H125" s="108"/>
      <c r="I125" s="108"/>
      <c r="J125" s="65"/>
      <c r="K125" s="126"/>
      <c r="L125" s="94"/>
      <c r="M125" s="94"/>
    </row>
    <row r="126" spans="1:13">
      <c r="A126" s="128">
        <v>23</v>
      </c>
      <c r="B126" s="108" t="s">
        <v>497</v>
      </c>
      <c r="C126" s="108" t="s">
        <v>625</v>
      </c>
      <c r="D126" s="108" t="s">
        <v>626</v>
      </c>
      <c r="E126" s="65">
        <v>1072</v>
      </c>
      <c r="F126" s="108"/>
      <c r="G126" s="108"/>
      <c r="H126" s="108"/>
      <c r="I126" s="108"/>
      <c r="J126" s="65">
        <v>1072</v>
      </c>
      <c r="K126" s="126" t="s">
        <v>627</v>
      </c>
      <c r="L126" s="94"/>
      <c r="M126" s="94"/>
    </row>
    <row r="127" spans="1:13">
      <c r="A127" s="128"/>
      <c r="B127" s="108"/>
      <c r="C127" s="108" t="s">
        <v>628</v>
      </c>
      <c r="D127" s="108" t="s">
        <v>629</v>
      </c>
      <c r="E127" s="65">
        <v>372</v>
      </c>
      <c r="F127" s="108"/>
      <c r="G127" s="108"/>
      <c r="H127" s="108"/>
      <c r="I127" s="108"/>
      <c r="J127" s="65">
        <v>372</v>
      </c>
      <c r="K127" s="126" t="s">
        <v>630</v>
      </c>
      <c r="L127" s="94"/>
      <c r="M127" s="94"/>
    </row>
    <row r="128" spans="1:13">
      <c r="A128" s="128"/>
      <c r="B128" s="108"/>
      <c r="C128" s="108" t="s">
        <v>631</v>
      </c>
      <c r="D128" s="108"/>
      <c r="E128" s="65"/>
      <c r="F128" s="108"/>
      <c r="G128" s="108"/>
      <c r="H128" s="108"/>
      <c r="I128" s="108"/>
      <c r="J128" s="65"/>
      <c r="K128" s="126"/>
      <c r="L128" s="94"/>
      <c r="M128" s="94"/>
    </row>
    <row r="129" spans="1:13">
      <c r="A129" s="128"/>
      <c r="B129" s="108"/>
      <c r="C129" s="108" t="s">
        <v>532</v>
      </c>
      <c r="D129" s="108" t="s">
        <v>632</v>
      </c>
      <c r="E129" s="65"/>
      <c r="F129" s="108"/>
      <c r="G129" s="108"/>
      <c r="H129" s="108"/>
      <c r="I129" s="108"/>
      <c r="J129" s="65"/>
      <c r="K129" s="126"/>
      <c r="L129" s="94"/>
      <c r="M129" s="94"/>
    </row>
    <row r="130" spans="1:13">
      <c r="A130" s="128"/>
      <c r="B130" s="108"/>
      <c r="C130" s="108"/>
      <c r="D130" s="108"/>
      <c r="E130" s="65"/>
      <c r="F130" s="108"/>
      <c r="G130" s="108"/>
      <c r="H130" s="108"/>
      <c r="I130" s="108"/>
      <c r="J130" s="65"/>
      <c r="K130" s="126"/>
      <c r="L130" s="94"/>
      <c r="M130" s="94"/>
    </row>
    <row r="131" spans="1:13">
      <c r="A131" s="128">
        <v>24</v>
      </c>
      <c r="B131" s="108" t="s">
        <v>557</v>
      </c>
      <c r="C131" s="108" t="s">
        <v>633</v>
      </c>
      <c r="D131" s="108" t="s">
        <v>634</v>
      </c>
      <c r="E131" s="65">
        <v>886</v>
      </c>
      <c r="F131" s="108"/>
      <c r="G131" s="108"/>
      <c r="H131" s="108"/>
      <c r="I131" s="108"/>
      <c r="J131" s="65">
        <v>886</v>
      </c>
      <c r="K131" s="126" t="s">
        <v>635</v>
      </c>
      <c r="L131" s="94"/>
      <c r="M131" s="94"/>
    </row>
    <row r="132" spans="1:13">
      <c r="A132" s="128"/>
      <c r="B132" s="108"/>
      <c r="C132" s="108" t="s">
        <v>636</v>
      </c>
      <c r="D132" s="108"/>
      <c r="E132" s="65"/>
      <c r="F132" s="108"/>
      <c r="G132" s="108"/>
      <c r="H132" s="108"/>
      <c r="I132" s="108"/>
      <c r="J132" s="65"/>
      <c r="K132" s="126" t="s">
        <v>637</v>
      </c>
      <c r="L132" s="94"/>
      <c r="M132" s="94"/>
    </row>
    <row r="133" spans="1:13">
      <c r="A133" s="128"/>
      <c r="B133" s="108"/>
      <c r="C133" s="108"/>
      <c r="D133" s="108"/>
      <c r="E133" s="65"/>
      <c r="F133" s="108"/>
      <c r="G133" s="108"/>
      <c r="H133" s="108"/>
      <c r="I133" s="108"/>
      <c r="J133" s="65"/>
      <c r="K133" s="126"/>
      <c r="L133" s="94"/>
      <c r="M133" s="94"/>
    </row>
    <row r="134" spans="1:13">
      <c r="A134" s="128"/>
      <c r="B134" s="108"/>
      <c r="C134" s="108"/>
      <c r="D134" s="108"/>
      <c r="E134" s="65"/>
      <c r="F134" s="108"/>
      <c r="G134" s="108"/>
      <c r="H134" s="108"/>
      <c r="I134" s="108"/>
      <c r="J134" s="65"/>
      <c r="K134" s="126"/>
      <c r="L134" s="94"/>
      <c r="M134" s="94"/>
    </row>
    <row r="135" spans="1:13">
      <c r="A135" s="128">
        <v>25</v>
      </c>
      <c r="B135" s="108" t="s">
        <v>519</v>
      </c>
      <c r="C135" s="108" t="s">
        <v>638</v>
      </c>
      <c r="D135" s="108" t="s">
        <v>634</v>
      </c>
      <c r="E135" s="65">
        <v>886</v>
      </c>
      <c r="F135" s="108"/>
      <c r="G135" s="108"/>
      <c r="H135" s="108"/>
      <c r="I135" s="108"/>
      <c r="J135" s="65">
        <v>886</v>
      </c>
      <c r="K135" s="129" t="s">
        <v>614</v>
      </c>
      <c r="L135" s="94"/>
      <c r="M135" s="94"/>
    </row>
    <row r="136" spans="1:13">
      <c r="A136" s="128"/>
      <c r="B136" s="108"/>
      <c r="C136" s="108" t="s">
        <v>639</v>
      </c>
      <c r="D136" s="108"/>
      <c r="E136" s="65"/>
      <c r="F136" s="108"/>
      <c r="G136" s="108"/>
      <c r="H136" s="108"/>
      <c r="I136" s="108"/>
      <c r="J136" s="65"/>
      <c r="K136" s="126"/>
      <c r="L136" s="94"/>
      <c r="M136" s="94"/>
    </row>
    <row r="137" spans="1:13">
      <c r="A137" s="128"/>
      <c r="B137" s="108"/>
      <c r="C137" s="108"/>
      <c r="D137" s="108"/>
      <c r="E137" s="65"/>
      <c r="F137" s="108"/>
      <c r="G137" s="108"/>
      <c r="H137" s="108"/>
      <c r="I137" s="108"/>
      <c r="J137" s="65"/>
      <c r="K137" s="126"/>
      <c r="L137" s="94"/>
      <c r="M137" s="94"/>
    </row>
    <row r="138" spans="1:13">
      <c r="A138" s="130">
        <v>26</v>
      </c>
      <c r="B138" s="109" t="s">
        <v>488</v>
      </c>
      <c r="C138" s="108" t="s">
        <v>640</v>
      </c>
      <c r="D138" s="108" t="s">
        <v>616</v>
      </c>
      <c r="E138" s="65">
        <v>1115</v>
      </c>
      <c r="F138" s="108"/>
      <c r="G138" s="108"/>
      <c r="H138" s="108"/>
      <c r="I138" s="108"/>
      <c r="J138" s="65">
        <v>1115</v>
      </c>
      <c r="K138" s="126" t="s">
        <v>641</v>
      </c>
      <c r="L138" s="94"/>
      <c r="M138" s="94"/>
    </row>
    <row r="139" spans="1:13">
      <c r="A139" s="128"/>
      <c r="B139" s="108"/>
      <c r="C139" s="108" t="s">
        <v>642</v>
      </c>
      <c r="D139" s="108"/>
      <c r="E139" s="65"/>
      <c r="F139" s="108"/>
      <c r="G139" s="108"/>
      <c r="H139" s="108"/>
      <c r="I139" s="108"/>
      <c r="J139" s="108"/>
      <c r="K139" s="126" t="s">
        <v>643</v>
      </c>
      <c r="L139" s="94"/>
      <c r="M139" s="94"/>
    </row>
    <row r="140" spans="1:13">
      <c r="A140" s="128"/>
      <c r="B140" s="108"/>
      <c r="C140" s="108"/>
      <c r="D140" s="108"/>
      <c r="E140" s="108"/>
      <c r="F140" s="108"/>
      <c r="G140" s="108"/>
      <c r="H140" s="108"/>
      <c r="I140" s="108"/>
      <c r="J140" s="108"/>
      <c r="K140" s="126"/>
      <c r="L140" s="94"/>
      <c r="M140" s="94"/>
    </row>
    <row r="141" spans="1:13">
      <c r="A141" s="128"/>
      <c r="B141" s="108"/>
      <c r="C141" s="108"/>
      <c r="D141" s="108"/>
      <c r="E141" s="108"/>
      <c r="F141" s="108"/>
      <c r="G141" s="108"/>
      <c r="H141" s="108"/>
      <c r="I141" s="108"/>
      <c r="J141" s="108"/>
      <c r="K141" s="126"/>
      <c r="L141" s="94"/>
      <c r="M141" s="94"/>
    </row>
    <row r="142" spans="1:13">
      <c r="A142" s="130">
        <v>27</v>
      </c>
      <c r="B142" s="109" t="s">
        <v>519</v>
      </c>
      <c r="C142" s="110" t="s">
        <v>644</v>
      </c>
      <c r="D142" s="108" t="s">
        <v>645</v>
      </c>
      <c r="E142" s="111">
        <v>886</v>
      </c>
      <c r="F142" s="112"/>
      <c r="G142" s="112"/>
      <c r="H142" s="112"/>
      <c r="I142" s="112"/>
      <c r="J142" s="111">
        <v>886</v>
      </c>
      <c r="K142" s="131" t="s">
        <v>646</v>
      </c>
      <c r="L142" s="94"/>
      <c r="M142" s="94"/>
    </row>
    <row r="143" spans="1:13">
      <c r="A143" s="132"/>
      <c r="B143" s="113"/>
      <c r="C143" s="113" t="s">
        <v>647</v>
      </c>
      <c r="D143" s="113" t="s">
        <v>648</v>
      </c>
      <c r="E143" s="114">
        <v>66</v>
      </c>
      <c r="F143" s="111"/>
      <c r="G143" s="111"/>
      <c r="H143" s="111"/>
      <c r="I143" s="111"/>
      <c r="J143" s="114">
        <v>66</v>
      </c>
      <c r="K143" s="131" t="s">
        <v>649</v>
      </c>
      <c r="L143" s="94"/>
      <c r="M143" s="94"/>
    </row>
    <row r="144" spans="1:13">
      <c r="A144" s="132"/>
      <c r="B144" s="113"/>
      <c r="C144" s="113" t="s">
        <v>650</v>
      </c>
      <c r="D144" s="113" t="s">
        <v>651</v>
      </c>
      <c r="E144" s="114">
        <v>70</v>
      </c>
      <c r="F144" s="111"/>
      <c r="G144" s="111"/>
      <c r="H144" s="111"/>
      <c r="I144" s="111"/>
      <c r="J144" s="114">
        <v>70</v>
      </c>
      <c r="K144" s="131"/>
      <c r="L144" s="94"/>
      <c r="M144" s="94"/>
    </row>
    <row r="145" spans="1:13">
      <c r="A145" s="104"/>
      <c r="B145" s="93"/>
      <c r="C145" s="113"/>
      <c r="D145" s="113"/>
      <c r="E145" s="112"/>
      <c r="F145" s="112"/>
      <c r="G145" s="112"/>
      <c r="H145" s="112"/>
      <c r="I145" s="112"/>
      <c r="J145" s="112"/>
      <c r="K145" s="131"/>
      <c r="L145" s="94"/>
      <c r="M145" s="94"/>
    </row>
    <row r="146" spans="1:13">
      <c r="A146" s="130">
        <v>28</v>
      </c>
      <c r="B146" s="109" t="s">
        <v>652</v>
      </c>
      <c r="C146" s="113" t="s">
        <v>653</v>
      </c>
      <c r="D146" s="108" t="s">
        <v>634</v>
      </c>
      <c r="E146" s="111">
        <v>886</v>
      </c>
      <c r="F146" s="112"/>
      <c r="G146" s="112"/>
      <c r="H146" s="112"/>
      <c r="I146" s="112"/>
      <c r="J146" s="111">
        <v>886</v>
      </c>
      <c r="K146" s="131" t="s">
        <v>654</v>
      </c>
      <c r="L146" s="94"/>
      <c r="M146" s="94"/>
    </row>
    <row r="147" spans="1:13">
      <c r="A147" s="132"/>
      <c r="B147" s="113"/>
      <c r="C147" s="108" t="s">
        <v>639</v>
      </c>
      <c r="D147" s="108"/>
      <c r="E147" s="111"/>
      <c r="F147" s="112"/>
      <c r="G147" s="112"/>
      <c r="H147" s="112"/>
      <c r="I147" s="112"/>
      <c r="J147" s="111"/>
      <c r="K147" s="131" t="s">
        <v>655</v>
      </c>
      <c r="L147" s="94"/>
      <c r="M147" s="94"/>
    </row>
    <row r="148" spans="1:13">
      <c r="A148" s="132"/>
      <c r="B148" s="113"/>
      <c r="C148" s="113"/>
      <c r="D148" s="113"/>
      <c r="E148" s="112"/>
      <c r="F148" s="112"/>
      <c r="G148" s="112"/>
      <c r="H148" s="112"/>
      <c r="I148" s="112"/>
      <c r="J148" s="112"/>
      <c r="K148" s="131"/>
      <c r="L148" s="94"/>
      <c r="M148" s="94"/>
    </row>
    <row r="149" spans="1:13">
      <c r="A149" s="130">
        <v>29</v>
      </c>
      <c r="B149" s="109" t="s">
        <v>497</v>
      </c>
      <c r="C149" s="113" t="s">
        <v>656</v>
      </c>
      <c r="D149" s="108" t="s">
        <v>657</v>
      </c>
      <c r="E149" s="111">
        <v>886</v>
      </c>
      <c r="F149" s="112"/>
      <c r="G149" s="112"/>
      <c r="H149" s="112"/>
      <c r="I149" s="112"/>
      <c r="J149" s="111">
        <v>886</v>
      </c>
      <c r="K149" s="131" t="s">
        <v>658</v>
      </c>
      <c r="L149" s="94"/>
      <c r="M149" s="94"/>
    </row>
    <row r="150" spans="1:13">
      <c r="A150" s="104"/>
      <c r="B150" s="93"/>
      <c r="C150" s="108" t="s">
        <v>659</v>
      </c>
      <c r="D150" s="108"/>
      <c r="E150" s="111"/>
      <c r="F150" s="112"/>
      <c r="G150" s="112"/>
      <c r="H150" s="112"/>
      <c r="I150" s="112"/>
      <c r="J150" s="111"/>
      <c r="K150" s="131"/>
      <c r="L150" s="94"/>
      <c r="M150" s="94"/>
    </row>
    <row r="151" spans="1:13">
      <c r="A151" s="132"/>
      <c r="B151" s="113"/>
      <c r="C151" s="113"/>
      <c r="D151" s="113"/>
      <c r="E151" s="112"/>
      <c r="F151" s="112"/>
      <c r="G151" s="112"/>
      <c r="H151" s="112"/>
      <c r="I151" s="112"/>
      <c r="J151" s="112"/>
      <c r="K151" s="131"/>
      <c r="L151" s="94"/>
      <c r="M151" s="94"/>
    </row>
    <row r="152" spans="1:13">
      <c r="A152" s="130">
        <v>30</v>
      </c>
      <c r="B152" s="109" t="s">
        <v>469</v>
      </c>
      <c r="C152" s="113" t="s">
        <v>660</v>
      </c>
      <c r="D152" s="108" t="s">
        <v>634</v>
      </c>
      <c r="E152" s="111">
        <v>886</v>
      </c>
      <c r="F152" s="112"/>
      <c r="G152" s="112"/>
      <c r="H152" s="112"/>
      <c r="I152" s="112"/>
      <c r="J152" s="111">
        <v>886</v>
      </c>
      <c r="K152" s="131" t="s">
        <v>658</v>
      </c>
      <c r="L152" s="94"/>
      <c r="M152" s="94"/>
    </row>
    <row r="153" spans="1:13">
      <c r="A153" s="132"/>
      <c r="B153" s="113"/>
      <c r="C153" s="108" t="s">
        <v>639</v>
      </c>
      <c r="D153" s="108"/>
      <c r="E153" s="111"/>
      <c r="F153" s="112"/>
      <c r="G153" s="112"/>
      <c r="H153" s="112"/>
      <c r="I153" s="112"/>
      <c r="J153" s="111"/>
      <c r="K153" s="131"/>
      <c r="L153" s="94"/>
      <c r="M153" s="94"/>
    </row>
    <row r="154" spans="1:13">
      <c r="A154" s="132"/>
      <c r="B154" s="113"/>
      <c r="C154" s="113"/>
      <c r="D154" s="113"/>
      <c r="E154" s="112"/>
      <c r="F154" s="112"/>
      <c r="G154" s="112"/>
      <c r="H154" s="112"/>
      <c r="I154" s="112"/>
      <c r="J154" s="112"/>
      <c r="K154" s="131"/>
      <c r="L154" s="94"/>
      <c r="M154" s="94"/>
    </row>
    <row r="155" spans="1:13">
      <c r="A155" s="130">
        <v>31</v>
      </c>
      <c r="B155" s="109" t="s">
        <v>661</v>
      </c>
      <c r="C155" s="113" t="s">
        <v>662</v>
      </c>
      <c r="D155" s="108" t="s">
        <v>645</v>
      </c>
      <c r="E155" s="114">
        <v>1072</v>
      </c>
      <c r="F155" s="112"/>
      <c r="G155" s="112"/>
      <c r="H155" s="112"/>
      <c r="I155" s="112"/>
      <c r="J155" s="114">
        <v>1072</v>
      </c>
      <c r="K155" s="131" t="s">
        <v>663</v>
      </c>
      <c r="L155" s="94"/>
      <c r="M155" s="94"/>
    </row>
    <row r="156" spans="1:13">
      <c r="A156" s="104"/>
      <c r="B156" s="93"/>
      <c r="C156" s="113" t="s">
        <v>664</v>
      </c>
      <c r="D156" s="113" t="s">
        <v>665</v>
      </c>
      <c r="E156" s="114">
        <v>558</v>
      </c>
      <c r="F156" s="111"/>
      <c r="G156" s="111"/>
      <c r="H156" s="111"/>
      <c r="I156" s="111"/>
      <c r="J156" s="114">
        <v>558</v>
      </c>
      <c r="K156" s="131"/>
      <c r="L156" s="94"/>
      <c r="M156" s="94"/>
    </row>
    <row r="157" spans="1:13">
      <c r="A157" s="132"/>
      <c r="B157" s="113"/>
      <c r="C157" s="113" t="s">
        <v>666</v>
      </c>
      <c r="D157" s="113"/>
      <c r="E157" s="112"/>
      <c r="F157" s="112"/>
      <c r="G157" s="112"/>
      <c r="H157" s="112"/>
      <c r="I157" s="112"/>
      <c r="J157" s="112"/>
      <c r="K157" s="131" t="s">
        <v>667</v>
      </c>
      <c r="L157" s="94"/>
      <c r="M157" s="94"/>
    </row>
    <row r="158" spans="1:13">
      <c r="A158" s="132"/>
      <c r="B158" s="113"/>
      <c r="C158" s="113" t="s">
        <v>668</v>
      </c>
      <c r="D158" s="113" t="s">
        <v>669</v>
      </c>
      <c r="E158" s="112"/>
      <c r="F158" s="112"/>
      <c r="G158" s="112"/>
      <c r="H158" s="112"/>
      <c r="I158" s="112"/>
      <c r="J158" s="112"/>
      <c r="K158" s="131" t="s">
        <v>670</v>
      </c>
      <c r="L158" s="94"/>
      <c r="M158" s="94"/>
    </row>
    <row r="159" spans="1:13">
      <c r="A159" s="104"/>
      <c r="B159" s="93"/>
      <c r="C159" s="113"/>
      <c r="D159" s="113"/>
      <c r="E159" s="112"/>
      <c r="F159" s="112"/>
      <c r="G159" s="112"/>
      <c r="H159" s="112"/>
      <c r="I159" s="112"/>
      <c r="J159" s="112"/>
      <c r="K159" s="131"/>
      <c r="L159" s="94"/>
      <c r="M159" s="94"/>
    </row>
    <row r="160" spans="1:13">
      <c r="A160" s="130">
        <v>32</v>
      </c>
      <c r="B160" s="109" t="s">
        <v>671</v>
      </c>
      <c r="C160" s="113" t="s">
        <v>672</v>
      </c>
      <c r="D160" s="108" t="s">
        <v>645</v>
      </c>
      <c r="E160" s="114">
        <v>1072</v>
      </c>
      <c r="F160" s="112"/>
      <c r="G160" s="112"/>
      <c r="H160" s="112"/>
      <c r="I160" s="112"/>
      <c r="J160" s="114">
        <v>1072</v>
      </c>
      <c r="K160" s="131" t="s">
        <v>673</v>
      </c>
      <c r="L160" s="94"/>
      <c r="M160" s="94"/>
    </row>
    <row r="161" spans="1:13">
      <c r="A161" s="132"/>
      <c r="B161" s="113"/>
      <c r="C161" s="113" t="s">
        <v>674</v>
      </c>
      <c r="D161" s="113" t="s">
        <v>675</v>
      </c>
      <c r="E161" s="114">
        <v>1115</v>
      </c>
      <c r="F161" s="111"/>
      <c r="G161" s="111"/>
      <c r="H161" s="111"/>
      <c r="I161" s="111"/>
      <c r="J161" s="114">
        <v>1115</v>
      </c>
      <c r="K161" s="131" t="s">
        <v>676</v>
      </c>
      <c r="L161" s="94"/>
      <c r="M161" s="94"/>
    </row>
    <row r="162" spans="1:13">
      <c r="A162" s="132"/>
      <c r="B162" s="113"/>
      <c r="C162" s="113" t="s">
        <v>677</v>
      </c>
      <c r="D162" s="113"/>
      <c r="E162" s="111"/>
      <c r="F162" s="111"/>
      <c r="G162" s="111"/>
      <c r="H162" s="111"/>
      <c r="I162" s="111"/>
      <c r="J162" s="111"/>
      <c r="K162" s="131" t="s">
        <v>667</v>
      </c>
      <c r="L162" s="94"/>
      <c r="M162" s="94"/>
    </row>
    <row r="163" spans="1:13">
      <c r="A163" s="132"/>
      <c r="B163" s="113"/>
      <c r="C163" s="113" t="s">
        <v>668</v>
      </c>
      <c r="D163" s="113" t="s">
        <v>669</v>
      </c>
      <c r="E163" s="112"/>
      <c r="F163" s="112"/>
      <c r="G163" s="112"/>
      <c r="H163" s="112"/>
      <c r="I163" s="112"/>
      <c r="J163" s="112"/>
      <c r="K163" s="131" t="s">
        <v>670</v>
      </c>
      <c r="L163" s="94"/>
      <c r="M163" s="94"/>
    </row>
    <row r="164" spans="1:13">
      <c r="A164" s="132"/>
      <c r="B164" s="113"/>
      <c r="C164" s="113"/>
      <c r="D164" s="113"/>
      <c r="E164" s="112"/>
      <c r="F164" s="112"/>
      <c r="G164" s="112"/>
      <c r="H164" s="112"/>
      <c r="I164" s="112"/>
      <c r="J164" s="112"/>
      <c r="K164" s="131"/>
      <c r="L164" s="94"/>
      <c r="M164" s="94"/>
    </row>
    <row r="165" spans="1:13">
      <c r="A165" s="130">
        <v>33</v>
      </c>
      <c r="B165" s="109" t="s">
        <v>652</v>
      </c>
      <c r="C165" s="113" t="s">
        <v>678</v>
      </c>
      <c r="D165" s="108" t="s">
        <v>634</v>
      </c>
      <c r="E165" s="111">
        <v>886</v>
      </c>
      <c r="F165" s="112"/>
      <c r="G165" s="112"/>
      <c r="H165" s="112"/>
      <c r="I165" s="112"/>
      <c r="J165" s="111">
        <v>886</v>
      </c>
      <c r="K165" s="131" t="s">
        <v>673</v>
      </c>
      <c r="L165" s="94"/>
      <c r="M165" s="94"/>
    </row>
    <row r="166" spans="1:13">
      <c r="A166" s="132"/>
      <c r="B166" s="113"/>
      <c r="C166" s="108" t="s">
        <v>639</v>
      </c>
      <c r="D166" s="108"/>
      <c r="E166" s="111"/>
      <c r="F166" s="112"/>
      <c r="G166" s="112"/>
      <c r="H166" s="112"/>
      <c r="I166" s="112"/>
      <c r="J166" s="111"/>
      <c r="K166" s="131" t="s">
        <v>676</v>
      </c>
      <c r="L166" s="94"/>
      <c r="M166" s="94"/>
    </row>
    <row r="167" spans="1:13">
      <c r="A167" s="132"/>
      <c r="B167" s="113"/>
      <c r="C167" s="113"/>
      <c r="D167" s="113"/>
      <c r="E167" s="112"/>
      <c r="F167" s="112"/>
      <c r="G167" s="112"/>
      <c r="H167" s="112"/>
      <c r="I167" s="112"/>
      <c r="J167" s="112"/>
      <c r="K167" s="131"/>
      <c r="L167" s="94"/>
      <c r="M167" s="94"/>
    </row>
    <row r="168" spans="1:13">
      <c r="A168" s="130">
        <v>34</v>
      </c>
      <c r="B168" s="109" t="s">
        <v>488</v>
      </c>
      <c r="C168" s="113" t="s">
        <v>679</v>
      </c>
      <c r="D168" s="108" t="s">
        <v>634</v>
      </c>
      <c r="E168" s="111">
        <v>886</v>
      </c>
      <c r="F168" s="112"/>
      <c r="G168" s="112"/>
      <c r="H168" s="112"/>
      <c r="I168" s="112"/>
      <c r="J168" s="111">
        <v>886</v>
      </c>
      <c r="K168" s="131" t="s">
        <v>680</v>
      </c>
      <c r="L168" s="94"/>
      <c r="M168" s="94"/>
    </row>
    <row r="169" spans="1:13">
      <c r="A169" s="132"/>
      <c r="B169" s="113"/>
      <c r="C169" s="108" t="s">
        <v>639</v>
      </c>
      <c r="D169" s="108"/>
      <c r="E169" s="65"/>
      <c r="F169" s="108"/>
      <c r="G169" s="108"/>
      <c r="H169" s="108"/>
      <c r="I169" s="108"/>
      <c r="J169" s="65"/>
      <c r="K169" s="131"/>
      <c r="L169" s="94"/>
      <c r="M169" s="94"/>
    </row>
    <row r="170" spans="1:13">
      <c r="A170" s="132"/>
      <c r="B170" s="113"/>
      <c r="C170" s="113"/>
      <c r="D170" s="113"/>
      <c r="E170" s="113"/>
      <c r="F170" s="113"/>
      <c r="G170" s="113"/>
      <c r="H170" s="113"/>
      <c r="I170" s="113"/>
      <c r="J170" s="113"/>
      <c r="K170" s="131"/>
      <c r="L170" s="94"/>
      <c r="M170" s="94"/>
    </row>
    <row r="171" spans="1:13">
      <c r="A171" s="132"/>
      <c r="B171" s="113"/>
      <c r="C171" s="2729" t="s">
        <v>681</v>
      </c>
      <c r="D171" s="2729"/>
      <c r="E171" s="115">
        <f>SUM(E6:E168)</f>
        <v>52302</v>
      </c>
      <c r="F171" s="115"/>
      <c r="G171" s="115"/>
      <c r="H171" s="115"/>
      <c r="I171" s="115"/>
      <c r="J171" s="115">
        <f>SUM(J6:J168)</f>
        <v>52302</v>
      </c>
      <c r="K171" s="131"/>
      <c r="L171" s="94"/>
      <c r="M171" s="94"/>
    </row>
    <row r="172" spans="1:13">
      <c r="A172" s="132"/>
      <c r="B172" s="113"/>
      <c r="C172" s="2729" t="s">
        <v>682</v>
      </c>
      <c r="D172" s="2729"/>
      <c r="E172" s="65">
        <f>(0.2*E171)</f>
        <v>10460.400000000001</v>
      </c>
      <c r="F172" s="65"/>
      <c r="G172" s="65"/>
      <c r="H172" s="65"/>
      <c r="I172" s="65"/>
      <c r="J172" s="65">
        <f>(0.2*J171)</f>
        <v>10460.400000000001</v>
      </c>
      <c r="K172" s="131"/>
      <c r="L172" s="94"/>
      <c r="M172" s="94"/>
    </row>
    <row r="173" spans="1:13" ht="16.5" thickBot="1">
      <c r="A173" s="133"/>
      <c r="B173" s="134"/>
      <c r="C173" s="2730" t="s">
        <v>393</v>
      </c>
      <c r="D173" s="2730"/>
      <c r="E173" s="135">
        <f>SUM(E171:E172)</f>
        <v>62762.400000000001</v>
      </c>
      <c r="F173" s="136"/>
      <c r="G173" s="136"/>
      <c r="H173" s="136"/>
      <c r="I173" s="136"/>
      <c r="J173" s="135">
        <f>SUM(J171:J172)</f>
        <v>62762.400000000001</v>
      </c>
      <c r="K173" s="137"/>
      <c r="L173" s="94"/>
      <c r="M173" s="94"/>
    </row>
    <row r="174" spans="1:13">
      <c r="A174" s="124"/>
      <c r="B174" s="116"/>
      <c r="C174" s="117"/>
      <c r="D174" s="117"/>
      <c r="E174" s="117"/>
      <c r="F174" s="118"/>
      <c r="G174" s="118"/>
      <c r="H174" s="118"/>
      <c r="I174" s="118"/>
      <c r="J174" s="118"/>
      <c r="K174" s="118"/>
      <c r="L174" s="94"/>
      <c r="M174" s="94"/>
    </row>
  </sheetData>
  <mergeCells count="4">
    <mergeCell ref="C171:D171"/>
    <mergeCell ref="C172:D172"/>
    <mergeCell ref="C173:D173"/>
    <mergeCell ref="C3:J3"/>
  </mergeCells>
  <phoneticPr fontId="14" type="noConversion"/>
  <printOptions horizontalCentered="1"/>
  <pageMargins left="0.7" right="0.7" top="0.75" bottom="0.75" header="0.3" footer="0.3"/>
  <pageSetup paperSize="9" scale="75" orientation="landscape" r:id="rId1"/>
  <headerFooter>
    <oddHeader>&amp;R&amp;F</oddHeader>
    <oddFooter>&amp;L&amp;P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view="pageBreakPreview" topLeftCell="B5" zoomScale="60" workbookViewId="0">
      <selection activeCell="D21" sqref="D21"/>
    </sheetView>
  </sheetViews>
  <sheetFormatPr defaultRowHeight="15.75"/>
  <cols>
    <col min="1" max="1" width="6.42578125" style="71" customWidth="1"/>
    <col min="2" max="2" width="40.42578125" style="71" customWidth="1"/>
    <col min="3" max="3" width="14.7109375" style="71" customWidth="1"/>
    <col min="4" max="4" width="18.42578125" style="71" customWidth="1"/>
    <col min="5" max="16384" width="9.140625" style="71"/>
  </cols>
  <sheetData>
    <row r="2" spans="1:4" ht="21" customHeight="1">
      <c r="A2" s="197" t="s">
        <v>343</v>
      </c>
    </row>
    <row r="3" spans="1:4" ht="21" customHeight="1">
      <c r="A3" s="198" t="s">
        <v>298</v>
      </c>
    </row>
    <row r="4" spans="1:4" ht="16.5" customHeight="1" thickBot="1">
      <c r="A4" s="199" t="s">
        <v>329</v>
      </c>
    </row>
    <row r="5" spans="1:4" ht="16.5" customHeight="1">
      <c r="A5" s="200"/>
      <c r="B5" s="2533" t="s">
        <v>212</v>
      </c>
      <c r="C5" s="2533"/>
      <c r="D5" s="2533"/>
    </row>
    <row r="6" spans="1:4" ht="16.5" customHeight="1">
      <c r="A6" s="200"/>
      <c r="B6" s="7" t="s">
        <v>298</v>
      </c>
      <c r="C6" s="7"/>
    </row>
    <row r="7" spans="1:4" ht="16.5" customHeight="1">
      <c r="A7" s="200"/>
      <c r="B7" s="2447" t="s">
        <v>213</v>
      </c>
      <c r="C7" s="2447"/>
      <c r="D7" s="2447"/>
    </row>
    <row r="8" spans="1:4" ht="16.5" customHeight="1">
      <c r="A8" s="200"/>
    </row>
    <row r="9" spans="1:4" ht="16.5" customHeight="1" thickBot="1">
      <c r="A9" s="200"/>
    </row>
    <row r="10" spans="1:4" ht="36" customHeight="1">
      <c r="A10" s="193" t="s">
        <v>295</v>
      </c>
      <c r="B10" s="202" t="s">
        <v>423</v>
      </c>
      <c r="C10" s="203" t="s">
        <v>432</v>
      </c>
      <c r="D10" s="204" t="s">
        <v>433</v>
      </c>
    </row>
    <row r="11" spans="1:4" ht="24" customHeight="1">
      <c r="A11" s="35">
        <v>1</v>
      </c>
      <c r="B11" s="245" t="s">
        <v>338</v>
      </c>
      <c r="C11" s="64">
        <v>4.744893410113888</v>
      </c>
      <c r="D11" s="148">
        <v>4.1635695799999999</v>
      </c>
    </row>
    <row r="12" spans="1:4" ht="24" customHeight="1">
      <c r="A12" s="35"/>
      <c r="B12" s="245" t="s">
        <v>209</v>
      </c>
      <c r="C12" s="64"/>
      <c r="D12" s="148">
        <v>0.37336760505694389</v>
      </c>
    </row>
    <row r="13" spans="1:4" ht="24" customHeight="1">
      <c r="A13" s="35">
        <v>2</v>
      </c>
      <c r="B13" s="245" t="s">
        <v>390</v>
      </c>
      <c r="C13" s="64">
        <v>2.7369888807726648</v>
      </c>
      <c r="D13" s="148">
        <v>4.8621722959548599</v>
      </c>
    </row>
    <row r="14" spans="1:4">
      <c r="A14" s="35">
        <v>3</v>
      </c>
      <c r="B14" s="245" t="s">
        <v>383</v>
      </c>
      <c r="C14" s="64">
        <v>0.8112925249573899</v>
      </c>
      <c r="D14" s="148">
        <v>5.4271000000000011</v>
      </c>
    </row>
    <row r="15" spans="1:4" ht="24" customHeight="1">
      <c r="A15" s="35">
        <v>4</v>
      </c>
      <c r="B15" s="245" t="s">
        <v>384</v>
      </c>
      <c r="C15" s="64">
        <v>0.36460799999999993</v>
      </c>
      <c r="D15" s="148">
        <v>0.67084600000000005</v>
      </c>
    </row>
    <row r="16" spans="1:4" ht="24" customHeight="1">
      <c r="A16" s="35">
        <v>5</v>
      </c>
      <c r="B16" s="245" t="s">
        <v>385</v>
      </c>
      <c r="C16" s="64">
        <v>0</v>
      </c>
      <c r="D16" s="148">
        <v>0.33012386163078045</v>
      </c>
    </row>
    <row r="17" spans="1:4" ht="24" customHeight="1">
      <c r="A17" s="35"/>
      <c r="B17" s="245" t="s">
        <v>340</v>
      </c>
      <c r="C17" s="64">
        <v>0.56326645921060381</v>
      </c>
      <c r="D17" s="148">
        <v>0.93134099218124689</v>
      </c>
    </row>
    <row r="18" spans="1:4" ht="24" customHeight="1">
      <c r="A18" s="35">
        <v>6</v>
      </c>
      <c r="B18" s="245" t="s">
        <v>434</v>
      </c>
      <c r="C18" s="64"/>
      <c r="D18" s="148"/>
    </row>
    <row r="19" spans="1:4" ht="24" customHeight="1">
      <c r="A19" s="35"/>
      <c r="B19" s="245" t="s">
        <v>196</v>
      </c>
      <c r="C19" s="64">
        <v>10</v>
      </c>
      <c r="D19" s="148">
        <v>10</v>
      </c>
    </row>
    <row r="20" spans="1:4" ht="24" customHeight="1">
      <c r="A20" s="196" t="s">
        <v>386</v>
      </c>
      <c r="B20" s="245" t="s">
        <v>386</v>
      </c>
      <c r="C20" s="64">
        <f>SUM(C11:C19)</f>
        <v>19.221049275054547</v>
      </c>
      <c r="D20" s="148">
        <f>SUM(D11:D19)</f>
        <v>26.758520334823835</v>
      </c>
    </row>
    <row r="21" spans="1:4" ht="24" customHeight="1">
      <c r="A21" s="35">
        <v>7</v>
      </c>
      <c r="B21" s="245" t="s">
        <v>391</v>
      </c>
      <c r="C21" s="64">
        <v>2.1541999999999999</v>
      </c>
      <c r="D21" s="148">
        <v>0</v>
      </c>
    </row>
    <row r="22" spans="1:4" ht="24" customHeight="1" thickBot="1">
      <c r="A22" s="196" t="s">
        <v>392</v>
      </c>
      <c r="B22" s="248" t="s">
        <v>392</v>
      </c>
      <c r="C22" s="149">
        <f>C20-C21</f>
        <v>17.066849275054548</v>
      </c>
      <c r="D22" s="201">
        <f>D20-D21</f>
        <v>26.758520334823835</v>
      </c>
    </row>
  </sheetData>
  <mergeCells count="2">
    <mergeCell ref="B5:D5"/>
    <mergeCell ref="B7:D7"/>
  </mergeCells>
  <phoneticPr fontId="14" type="noConversion"/>
  <printOptions horizontalCentered="1"/>
  <pageMargins left="0.7" right="0.7" top="0.75" bottom="0.75" header="0.3" footer="0.3"/>
  <pageSetup paperSize="9" orientation="landscape" r:id="rId1"/>
  <headerFooter>
    <oddHeader>&amp;R&amp;F</oddHeader>
    <oddFooter>&amp;L&amp;P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J21"/>
  <sheetViews>
    <sheetView topLeftCell="B1" workbookViewId="0">
      <selection activeCell="E14" sqref="E14"/>
    </sheetView>
  </sheetViews>
  <sheetFormatPr defaultRowHeight="15.75"/>
  <cols>
    <col min="1" max="3" width="9.140625" style="97"/>
    <col min="4" max="4" width="51.5703125" style="97" customWidth="1"/>
    <col min="5" max="5" width="14.7109375" style="97" customWidth="1"/>
    <col min="6" max="6" width="9.140625" style="97"/>
    <col min="7" max="7" width="11" style="97" bestFit="1" customWidth="1"/>
    <col min="8" max="16384" width="9.140625" style="97"/>
  </cols>
  <sheetData>
    <row r="1" spans="4:10">
      <c r="D1" s="2533" t="s">
        <v>212</v>
      </c>
      <c r="E1" s="2533"/>
      <c r="F1" s="194"/>
      <c r="G1" s="7"/>
      <c r="H1" s="7"/>
      <c r="I1" s="7"/>
      <c r="J1" s="7"/>
    </row>
    <row r="2" spans="4:10">
      <c r="D2" s="2533" t="s">
        <v>298</v>
      </c>
      <c r="E2" s="2533"/>
      <c r="F2" s="7"/>
      <c r="G2" s="7"/>
      <c r="H2" s="7"/>
      <c r="I2" s="7"/>
      <c r="J2" s="7"/>
    </row>
    <row r="3" spans="4:10">
      <c r="D3" s="2447" t="s">
        <v>211</v>
      </c>
      <c r="E3" s="2447"/>
      <c r="F3" s="119"/>
      <c r="G3" s="119"/>
      <c r="H3" s="119"/>
      <c r="I3" s="119"/>
      <c r="J3" s="119"/>
    </row>
    <row r="4" spans="4:10" ht="16.5" thickBot="1"/>
    <row r="5" spans="4:10" ht="47.25">
      <c r="D5" s="143" t="s">
        <v>423</v>
      </c>
      <c r="E5" s="231" t="s">
        <v>208</v>
      </c>
    </row>
    <row r="6" spans="4:10">
      <c r="D6" s="246" t="s">
        <v>198</v>
      </c>
      <c r="E6" s="224">
        <f>'SLDC ARR'!D22</f>
        <v>26.758520334823835</v>
      </c>
    </row>
    <row r="7" spans="4:10">
      <c r="D7" s="246" t="s">
        <v>199</v>
      </c>
      <c r="E7" s="224">
        <f>E6</f>
        <v>26.758520334823835</v>
      </c>
    </row>
    <row r="8" spans="4:10">
      <c r="D8" s="181" t="s">
        <v>200</v>
      </c>
      <c r="E8" s="209">
        <f>E7*0.8</f>
        <v>21.406816267859071</v>
      </c>
    </row>
    <row r="9" spans="4:10">
      <c r="D9" s="181" t="s">
        <v>201</v>
      </c>
      <c r="E9" s="209">
        <f>E7-E8</f>
        <v>5.3517040669647642</v>
      </c>
    </row>
    <row r="10" spans="4:10">
      <c r="D10" s="181"/>
      <c r="E10" s="162"/>
    </row>
    <row r="11" spans="4:10">
      <c r="D11" s="246" t="s">
        <v>202</v>
      </c>
      <c r="E11" s="224">
        <f>E8</f>
        <v>21.406816267859071</v>
      </c>
    </row>
    <row r="12" spans="4:10">
      <c r="D12" s="181" t="s">
        <v>203</v>
      </c>
      <c r="E12" s="209">
        <f>E11*0.1</f>
        <v>2.140681626785907</v>
      </c>
    </row>
    <row r="13" spans="4:10">
      <c r="D13" s="181" t="s">
        <v>204</v>
      </c>
      <c r="E13" s="209">
        <f>E11*0.45</f>
        <v>9.6330673205365827</v>
      </c>
    </row>
    <row r="14" spans="4:10">
      <c r="D14" s="181" t="s">
        <v>205</v>
      </c>
      <c r="E14" s="209">
        <f>E11*0.45</f>
        <v>9.6330673205365827</v>
      </c>
    </row>
    <row r="15" spans="4:10">
      <c r="D15" s="181"/>
      <c r="E15" s="162"/>
    </row>
    <row r="16" spans="4:10">
      <c r="D16" s="246" t="s">
        <v>201</v>
      </c>
      <c r="E16" s="224">
        <f>E9</f>
        <v>5.3517040669647642</v>
      </c>
    </row>
    <row r="17" spans="4:9">
      <c r="D17" s="181" t="s">
        <v>206</v>
      </c>
      <c r="E17" s="209">
        <f>E9/2</f>
        <v>2.6758520334823821</v>
      </c>
    </row>
    <row r="18" spans="4:9" ht="16.5" thickBot="1">
      <c r="D18" s="195" t="s">
        <v>207</v>
      </c>
      <c r="E18" s="247">
        <f>E9/2</f>
        <v>2.6758520334823821</v>
      </c>
    </row>
    <row r="19" spans="4:9">
      <c r="D19" s="218"/>
      <c r="E19" s="220"/>
    </row>
    <row r="20" spans="4:9" ht="16.5" thickBot="1">
      <c r="D20" s="225" t="s">
        <v>210</v>
      </c>
      <c r="E20" s="222">
        <f>E6/12</f>
        <v>2.2298766945686528</v>
      </c>
      <c r="I20" s="180"/>
    </row>
    <row r="21" spans="4:9">
      <c r="E21" s="180"/>
    </row>
  </sheetData>
  <mergeCells count="3">
    <mergeCell ref="D2:E2"/>
    <mergeCell ref="D3:E3"/>
    <mergeCell ref="D1:E1"/>
  </mergeCells>
  <phoneticPr fontId="14" type="noConversion"/>
  <printOptions horizontalCentered="1"/>
  <pageMargins left="0.7" right="0.7" top="0.75" bottom="0.75" header="0.3" footer="0.3"/>
  <pageSetup paperSize="9" orientation="landscape" horizontalDpi="300" verticalDpi="300" r:id="rId1"/>
  <headerFooter>
    <oddHeader>&amp;R&amp;F</oddHeader>
    <oddFooter>&amp;L&amp;P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B4:G18"/>
  <sheetViews>
    <sheetView workbookViewId="0">
      <selection activeCell="E9" sqref="E9"/>
    </sheetView>
  </sheetViews>
  <sheetFormatPr defaultRowHeight="15"/>
  <cols>
    <col min="2" max="2" width="7.5703125" customWidth="1"/>
    <col min="3" max="3" width="29.42578125" customWidth="1"/>
    <col min="4" max="4" width="18.5703125" customWidth="1"/>
    <col min="5" max="5" width="25" customWidth="1"/>
    <col min="6" max="6" width="18.5703125" customWidth="1"/>
    <col min="7" max="7" width="23.7109375" customWidth="1"/>
  </cols>
  <sheetData>
    <row r="4" spans="2:7">
      <c r="C4" t="s">
        <v>2247</v>
      </c>
    </row>
    <row r="6" spans="2:7" ht="40.5" customHeight="1">
      <c r="B6" s="1121" t="s">
        <v>1003</v>
      </c>
      <c r="C6" s="1124" t="s">
        <v>331</v>
      </c>
      <c r="D6" s="1125" t="s">
        <v>2254</v>
      </c>
      <c r="E6" s="1125" t="s">
        <v>2251</v>
      </c>
      <c r="F6" s="1125" t="s">
        <v>2250</v>
      </c>
      <c r="G6" s="1125" t="s">
        <v>2253</v>
      </c>
    </row>
    <row r="7" spans="2:7">
      <c r="B7" s="986">
        <v>1</v>
      </c>
      <c r="C7" s="972" t="s">
        <v>2249</v>
      </c>
      <c r="D7" s="971">
        <v>1978.05</v>
      </c>
      <c r="E7" s="971">
        <v>59.71</v>
      </c>
      <c r="F7" s="1126">
        <v>1185.52</v>
      </c>
      <c r="G7" s="1118">
        <f>F7*G15</f>
        <v>122.13918228782288</v>
      </c>
    </row>
    <row r="8" spans="2:7" ht="33" customHeight="1">
      <c r="B8" s="986">
        <v>2</v>
      </c>
      <c r="C8" s="1127" t="s">
        <v>2248</v>
      </c>
      <c r="D8" s="986">
        <v>0</v>
      </c>
      <c r="E8" s="986">
        <v>0</v>
      </c>
      <c r="F8" s="986">
        <v>977.37</v>
      </c>
      <c r="G8" s="1119">
        <f>F8*G15</f>
        <v>100.69435571955719</v>
      </c>
    </row>
    <row r="9" spans="2:7">
      <c r="B9" s="986">
        <v>3</v>
      </c>
      <c r="C9" s="1128" t="s">
        <v>2252</v>
      </c>
      <c r="D9" s="971">
        <f>SUM(D7:D8)</f>
        <v>1978.05</v>
      </c>
      <c r="E9" s="971">
        <f>SUM(E7:E8)</f>
        <v>59.71</v>
      </c>
      <c r="F9" s="971">
        <f>SUM(F7:F8)</f>
        <v>2162.89</v>
      </c>
      <c r="G9" s="1118">
        <f>SUM(G7:G8)</f>
        <v>222.83353800738007</v>
      </c>
    </row>
    <row r="14" spans="2:7">
      <c r="F14">
        <v>406.5</v>
      </c>
      <c r="G14">
        <v>41.88</v>
      </c>
    </row>
    <row r="15" spans="2:7">
      <c r="G15" s="1123">
        <f>G14/F14</f>
        <v>0.10302583025830259</v>
      </c>
    </row>
    <row r="17" spans="6:7">
      <c r="F17">
        <v>2112.92</v>
      </c>
      <c r="G17">
        <f>F17/F18</f>
        <v>0.10302479173625045</v>
      </c>
    </row>
    <row r="18" spans="6:7">
      <c r="F18">
        <v>20508.849999999999</v>
      </c>
    </row>
  </sheetData>
  <pageMargins left="0.7" right="0.7" top="0.75" bottom="0.75" header="0.3" footer="0.3"/>
  <pageSetup paperSize="9" orientation="portrait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B2:M248"/>
  <sheetViews>
    <sheetView topLeftCell="A151" workbookViewId="0">
      <selection activeCell="F98" sqref="F98"/>
    </sheetView>
  </sheetViews>
  <sheetFormatPr defaultRowHeight="15"/>
  <cols>
    <col min="2" max="2" width="6.28515625" customWidth="1"/>
    <col min="3" max="3" width="35.28515625" customWidth="1"/>
    <col min="4" max="4" width="16.42578125" customWidth="1"/>
    <col min="5" max="5" width="22" customWidth="1"/>
    <col min="6" max="6" width="16.42578125" customWidth="1"/>
    <col min="7" max="7" width="14.42578125" customWidth="1"/>
    <col min="8" max="8" width="17.7109375" customWidth="1"/>
    <col min="9" max="9" width="9.140625" customWidth="1"/>
  </cols>
  <sheetData>
    <row r="2" spans="2:7">
      <c r="B2" t="s">
        <v>1048</v>
      </c>
      <c r="D2" t="s">
        <v>1049</v>
      </c>
    </row>
    <row r="3" spans="2:7" ht="15.75" thickBot="1"/>
    <row r="4" spans="2:7" ht="30.75" thickBot="1">
      <c r="B4" s="318" t="s">
        <v>1003</v>
      </c>
      <c r="C4" s="319" t="s">
        <v>331</v>
      </c>
      <c r="D4" s="320" t="s">
        <v>1051</v>
      </c>
      <c r="E4" s="321" t="s">
        <v>1050</v>
      </c>
    </row>
    <row r="5" spans="2:7">
      <c r="B5" s="314">
        <v>1</v>
      </c>
      <c r="C5" s="315" t="s">
        <v>1052</v>
      </c>
      <c r="D5" s="316">
        <v>75.099999999999994</v>
      </c>
      <c r="E5" s="317">
        <v>1083032747</v>
      </c>
      <c r="G5" s="322"/>
    </row>
    <row r="6" spans="2:7">
      <c r="B6" s="306">
        <v>2</v>
      </c>
      <c r="C6" s="289" t="s">
        <v>1053</v>
      </c>
      <c r="D6" s="288">
        <v>75.2</v>
      </c>
      <c r="E6" s="307">
        <v>31117724</v>
      </c>
      <c r="G6" s="322"/>
    </row>
    <row r="7" spans="2:7">
      <c r="B7" s="306">
        <v>3</v>
      </c>
      <c r="C7" s="289" t="s">
        <v>1054</v>
      </c>
      <c r="D7" s="288">
        <v>75.3</v>
      </c>
      <c r="E7" s="307">
        <v>428273367</v>
      </c>
      <c r="G7" s="322"/>
    </row>
    <row r="8" spans="2:7">
      <c r="B8" s="306">
        <v>4</v>
      </c>
      <c r="C8" s="289" t="s">
        <v>1055</v>
      </c>
      <c r="D8" s="288">
        <v>75.400000000000006</v>
      </c>
      <c r="E8" s="307">
        <v>193955672</v>
      </c>
      <c r="G8" s="322"/>
    </row>
    <row r="9" spans="2:7">
      <c r="B9" s="306">
        <v>5</v>
      </c>
      <c r="C9" s="289" t="s">
        <v>1056</v>
      </c>
      <c r="D9" s="288">
        <v>75.5</v>
      </c>
      <c r="E9" s="307">
        <v>1094792</v>
      </c>
      <c r="G9" s="322"/>
    </row>
    <row r="10" spans="2:7">
      <c r="B10" s="308">
        <v>6</v>
      </c>
      <c r="C10" s="304" t="s">
        <v>1033</v>
      </c>
      <c r="D10" s="290"/>
      <c r="E10" s="309">
        <f>SUM(E5:E9)</f>
        <v>1737474302</v>
      </c>
      <c r="G10" s="322"/>
    </row>
    <row r="11" spans="2:7">
      <c r="B11" s="306">
        <v>7</v>
      </c>
      <c r="C11" s="289" t="s">
        <v>1057</v>
      </c>
      <c r="D11" s="288" t="s">
        <v>1063</v>
      </c>
      <c r="E11" s="307">
        <v>11073852</v>
      </c>
      <c r="G11" s="322"/>
    </row>
    <row r="12" spans="2:7">
      <c r="B12" s="306">
        <v>8</v>
      </c>
      <c r="C12" s="289" t="s">
        <v>1058</v>
      </c>
      <c r="D12" s="288" t="s">
        <v>1064</v>
      </c>
      <c r="E12" s="307">
        <v>9040352</v>
      </c>
      <c r="G12" s="322"/>
    </row>
    <row r="13" spans="2:7">
      <c r="B13" s="306">
        <v>9</v>
      </c>
      <c r="C13" s="289" t="s">
        <v>1059</v>
      </c>
      <c r="D13" s="288">
        <v>75.617000000000004</v>
      </c>
      <c r="E13" s="307">
        <v>0</v>
      </c>
      <c r="G13" s="322"/>
    </row>
    <row r="14" spans="2:7" ht="30">
      <c r="B14" s="306">
        <v>10</v>
      </c>
      <c r="C14" s="305" t="s">
        <v>1060</v>
      </c>
      <c r="D14" s="288" t="s">
        <v>1065</v>
      </c>
      <c r="E14" s="307">
        <v>845750</v>
      </c>
      <c r="G14" s="322"/>
    </row>
    <row r="15" spans="2:7">
      <c r="B15" s="308">
        <v>11</v>
      </c>
      <c r="C15" s="304" t="s">
        <v>1061</v>
      </c>
      <c r="D15" s="290"/>
      <c r="E15" s="309">
        <f>SUM(E11:E14)</f>
        <v>20959954</v>
      </c>
      <c r="G15" s="322"/>
    </row>
    <row r="16" spans="2:7">
      <c r="B16" s="306">
        <v>12</v>
      </c>
      <c r="C16" s="289" t="s">
        <v>1062</v>
      </c>
      <c r="D16" s="288">
        <v>75.7</v>
      </c>
      <c r="E16" s="307">
        <v>2496546</v>
      </c>
      <c r="G16" s="322"/>
    </row>
    <row r="17" spans="2:7">
      <c r="B17" s="306">
        <v>13</v>
      </c>
      <c r="C17" s="289" t="s">
        <v>288</v>
      </c>
      <c r="D17" s="288">
        <v>75.8</v>
      </c>
      <c r="E17" s="307">
        <v>323435764</v>
      </c>
      <c r="G17" s="322"/>
    </row>
    <row r="18" spans="2:7">
      <c r="B18" s="310"/>
      <c r="C18" s="289"/>
      <c r="D18" s="288"/>
      <c r="E18" s="307">
        <v>559000000</v>
      </c>
      <c r="G18" s="322"/>
    </row>
    <row r="19" spans="2:7" ht="15.75" thickBot="1">
      <c r="B19" s="311">
        <v>14</v>
      </c>
      <c r="C19" s="312" t="s">
        <v>287</v>
      </c>
      <c r="D19" s="312"/>
      <c r="E19" s="313">
        <f>E10+SUM(E15:E18)</f>
        <v>2643366566</v>
      </c>
      <c r="G19" s="322"/>
    </row>
    <row r="20" spans="2:7">
      <c r="G20" s="322"/>
    </row>
    <row r="22" spans="2:7">
      <c r="B22" t="s">
        <v>1067</v>
      </c>
      <c r="D22" t="s">
        <v>1068</v>
      </c>
    </row>
    <row r="23" spans="2:7" ht="15.75" thickBot="1"/>
    <row r="24" spans="2:7" ht="30.75" thickBot="1">
      <c r="B24" s="318" t="s">
        <v>1003</v>
      </c>
      <c r="C24" s="319" t="s">
        <v>331</v>
      </c>
      <c r="D24" s="320" t="s">
        <v>1051</v>
      </c>
      <c r="E24" s="321" t="s">
        <v>1050</v>
      </c>
    </row>
    <row r="25" spans="2:7" ht="30">
      <c r="B25" s="327">
        <v>1</v>
      </c>
      <c r="C25" s="326" t="s">
        <v>1069</v>
      </c>
      <c r="D25" s="329">
        <v>78.900000000000006</v>
      </c>
      <c r="E25" s="317">
        <v>182622000</v>
      </c>
    </row>
    <row r="26" spans="2:7">
      <c r="B26" s="328">
        <v>2</v>
      </c>
      <c r="C26" s="289" t="s">
        <v>1070</v>
      </c>
      <c r="D26" s="330">
        <v>74.900000000000006</v>
      </c>
      <c r="E26" s="307">
        <v>7500150</v>
      </c>
      <c r="F26">
        <f>E26/10^7</f>
        <v>0.75001499999999999</v>
      </c>
    </row>
    <row r="27" spans="2:7">
      <c r="B27" s="328">
        <v>3</v>
      </c>
      <c r="C27" s="289" t="s">
        <v>1071</v>
      </c>
      <c r="D27" s="330">
        <v>75.900000000000006</v>
      </c>
      <c r="E27" s="307">
        <v>714819841</v>
      </c>
    </row>
    <row r="28" spans="2:7">
      <c r="B28" s="328">
        <v>4</v>
      </c>
      <c r="C28" s="289" t="s">
        <v>1072</v>
      </c>
      <c r="D28" s="330">
        <v>76.900000000000006</v>
      </c>
      <c r="E28" s="307">
        <v>69004864</v>
      </c>
    </row>
    <row r="29" spans="2:7">
      <c r="B29" s="328">
        <v>5</v>
      </c>
      <c r="C29" s="289" t="s">
        <v>1073</v>
      </c>
      <c r="D29" s="330">
        <v>77.900000000000006</v>
      </c>
      <c r="E29" s="307">
        <v>1961752</v>
      </c>
    </row>
    <row r="30" spans="2:7">
      <c r="B30" s="310"/>
      <c r="C30" s="289" t="s">
        <v>287</v>
      </c>
      <c r="D30" s="289"/>
      <c r="E30" s="307">
        <f>SUM(E26:E29)</f>
        <v>793286607</v>
      </c>
    </row>
    <row r="31" spans="2:7" ht="15.75" thickBot="1">
      <c r="B31" s="323">
        <v>6</v>
      </c>
      <c r="C31" s="324" t="s">
        <v>2484</v>
      </c>
      <c r="D31" s="324"/>
      <c r="E31" s="325">
        <f>E25</f>
        <v>182622000</v>
      </c>
    </row>
    <row r="32" spans="2:7">
      <c r="E32">
        <f>E30+E31</f>
        <v>975908607</v>
      </c>
      <c r="F32">
        <f>E32/10^7</f>
        <v>97.590860699999993</v>
      </c>
    </row>
    <row r="33" spans="2:5">
      <c r="B33" t="s">
        <v>1075</v>
      </c>
      <c r="D33" t="s">
        <v>1076</v>
      </c>
    </row>
    <row r="34" spans="2:5" ht="15.75" thickBot="1"/>
    <row r="35" spans="2:5" ht="30.75" thickBot="1">
      <c r="B35" s="318" t="s">
        <v>1003</v>
      </c>
      <c r="C35" s="319" t="s">
        <v>331</v>
      </c>
      <c r="D35" s="320" t="s">
        <v>1051</v>
      </c>
      <c r="E35" s="321" t="s">
        <v>1050</v>
      </c>
    </row>
    <row r="36" spans="2:5">
      <c r="B36" s="314">
        <v>1</v>
      </c>
      <c r="C36" s="315" t="s">
        <v>1077</v>
      </c>
      <c r="D36" s="316">
        <v>74.099999999999994</v>
      </c>
      <c r="E36" s="317">
        <v>98366351</v>
      </c>
    </row>
    <row r="37" spans="2:5">
      <c r="B37" s="306">
        <v>2</v>
      </c>
      <c r="C37" s="289" t="s">
        <v>1078</v>
      </c>
      <c r="D37" s="288">
        <v>74.2</v>
      </c>
      <c r="E37" s="307">
        <v>11366693</v>
      </c>
    </row>
    <row r="38" spans="2:5">
      <c r="B38" s="306">
        <v>3</v>
      </c>
      <c r="C38" s="289" t="s">
        <v>1079</v>
      </c>
      <c r="D38" s="288">
        <v>74.3</v>
      </c>
      <c r="E38" s="307">
        <v>1400880</v>
      </c>
    </row>
    <row r="39" spans="2:5">
      <c r="B39" s="306">
        <v>4</v>
      </c>
      <c r="C39" s="289" t="s">
        <v>1080</v>
      </c>
      <c r="D39" s="288">
        <v>74.400000000000006</v>
      </c>
      <c r="E39" s="307">
        <v>0</v>
      </c>
    </row>
    <row r="40" spans="2:5">
      <c r="B40" s="306">
        <v>5</v>
      </c>
      <c r="C40" s="289" t="s">
        <v>1081</v>
      </c>
      <c r="D40" s="288">
        <v>74.5</v>
      </c>
      <c r="E40" s="307">
        <v>4715916</v>
      </c>
    </row>
    <row r="41" spans="2:5">
      <c r="B41" s="306">
        <v>6</v>
      </c>
      <c r="C41" s="289" t="s">
        <v>300</v>
      </c>
      <c r="D41" s="288">
        <v>74.599999999999994</v>
      </c>
      <c r="E41" s="307">
        <v>8857283</v>
      </c>
    </row>
    <row r="42" spans="2:5">
      <c r="B42" s="306">
        <v>7</v>
      </c>
      <c r="C42" s="289" t="s">
        <v>1082</v>
      </c>
      <c r="D42" s="288">
        <v>74.7</v>
      </c>
      <c r="E42" s="307">
        <v>4605</v>
      </c>
    </row>
    <row r="43" spans="2:5">
      <c r="B43" s="306">
        <v>8</v>
      </c>
      <c r="C43" s="289" t="s">
        <v>1083</v>
      </c>
      <c r="D43" s="288">
        <v>74.8</v>
      </c>
      <c r="E43" s="307">
        <v>20790</v>
      </c>
    </row>
    <row r="44" spans="2:5" ht="15.75" thickBot="1">
      <c r="B44" s="338">
        <v>9</v>
      </c>
      <c r="C44" s="339" t="s">
        <v>287</v>
      </c>
      <c r="D44" s="312"/>
      <c r="E44" s="313">
        <f>SUM(E36:E43)</f>
        <v>124732518</v>
      </c>
    </row>
    <row r="46" spans="2:5">
      <c r="B46" t="s">
        <v>1024</v>
      </c>
      <c r="D46" t="s">
        <v>1084</v>
      </c>
    </row>
    <row r="47" spans="2:5" ht="15.75" thickBot="1"/>
    <row r="48" spans="2:5" ht="30.75" thickBot="1">
      <c r="B48" s="318" t="s">
        <v>1003</v>
      </c>
      <c r="C48" s="319" t="s">
        <v>331</v>
      </c>
      <c r="D48" s="320" t="s">
        <v>1051</v>
      </c>
      <c r="E48" s="321" t="s">
        <v>1050</v>
      </c>
    </row>
    <row r="49" spans="2:5">
      <c r="B49" s="314">
        <v>1</v>
      </c>
      <c r="C49" s="315" t="s">
        <v>1108</v>
      </c>
      <c r="D49" s="316" t="s">
        <v>1144</v>
      </c>
      <c r="E49" s="317">
        <v>6288743</v>
      </c>
    </row>
    <row r="50" spans="2:5">
      <c r="B50" s="306">
        <v>2</v>
      </c>
      <c r="C50" s="289" t="s">
        <v>319</v>
      </c>
      <c r="D50" s="288" t="s">
        <v>1145</v>
      </c>
      <c r="E50" s="307">
        <v>85991</v>
      </c>
    </row>
    <row r="51" spans="2:5">
      <c r="B51" s="306">
        <v>3</v>
      </c>
      <c r="C51" s="289" t="s">
        <v>1109</v>
      </c>
      <c r="D51" s="288" t="s">
        <v>1146</v>
      </c>
      <c r="E51" s="307">
        <v>4660406</v>
      </c>
    </row>
    <row r="52" spans="2:5">
      <c r="B52" s="306">
        <v>4</v>
      </c>
      <c r="C52" s="289" t="s">
        <v>1110</v>
      </c>
      <c r="D52" s="288">
        <v>76.114000000000004</v>
      </c>
      <c r="E52" s="307">
        <v>0</v>
      </c>
    </row>
    <row r="53" spans="2:5">
      <c r="B53" s="306">
        <v>5</v>
      </c>
      <c r="C53" s="289" t="s">
        <v>1111</v>
      </c>
      <c r="D53" s="288">
        <v>76.120999999999995</v>
      </c>
      <c r="E53" s="307">
        <v>741797</v>
      </c>
    </row>
    <row r="54" spans="2:5">
      <c r="B54" s="306">
        <v>6</v>
      </c>
      <c r="C54" s="289" t="s">
        <v>1112</v>
      </c>
      <c r="D54" s="288">
        <v>76.122</v>
      </c>
      <c r="E54" s="307">
        <v>831505</v>
      </c>
    </row>
    <row r="55" spans="2:5">
      <c r="B55" s="306">
        <v>7</v>
      </c>
      <c r="C55" s="289" t="s">
        <v>1113</v>
      </c>
      <c r="D55" s="288">
        <v>76.123000000000005</v>
      </c>
      <c r="E55" s="307">
        <v>833869</v>
      </c>
    </row>
    <row r="56" spans="2:5">
      <c r="B56" s="306">
        <v>8</v>
      </c>
      <c r="C56" s="289" t="s">
        <v>1114</v>
      </c>
      <c r="D56" s="288">
        <v>76.123999999999995</v>
      </c>
      <c r="E56" s="307">
        <v>111375</v>
      </c>
    </row>
    <row r="57" spans="2:5">
      <c r="B57" s="306">
        <v>9</v>
      </c>
      <c r="C57" s="289" t="s">
        <v>323</v>
      </c>
      <c r="D57" s="288">
        <v>76.125</v>
      </c>
      <c r="E57" s="307"/>
    </row>
    <row r="58" spans="2:5">
      <c r="B58" s="306">
        <v>10</v>
      </c>
      <c r="C58" s="289" t="s">
        <v>1115</v>
      </c>
      <c r="D58" s="288">
        <v>76.126000000000005</v>
      </c>
      <c r="E58" s="307"/>
    </row>
    <row r="59" spans="2:5">
      <c r="B59" s="306">
        <v>11</v>
      </c>
      <c r="C59" s="289" t="s">
        <v>1116</v>
      </c>
      <c r="D59" s="288">
        <v>76.126999999999995</v>
      </c>
      <c r="E59" s="307"/>
    </row>
    <row r="60" spans="2:5">
      <c r="B60" s="306">
        <v>12</v>
      </c>
      <c r="C60" s="289" t="s">
        <v>1117</v>
      </c>
      <c r="D60" s="288" t="s">
        <v>1147</v>
      </c>
      <c r="E60" s="307">
        <v>55289941</v>
      </c>
    </row>
    <row r="61" spans="2:5">
      <c r="B61" s="306">
        <v>13</v>
      </c>
      <c r="C61" s="289" t="s">
        <v>1118</v>
      </c>
      <c r="D61" s="288"/>
      <c r="E61" s="307">
        <f>SUM(E62:E86)</f>
        <v>27732935</v>
      </c>
    </row>
    <row r="62" spans="2:5">
      <c r="B62" s="306" t="s">
        <v>1085</v>
      </c>
      <c r="C62" s="289" t="s">
        <v>1119</v>
      </c>
      <c r="D62" s="288">
        <v>76.150999999999996</v>
      </c>
      <c r="E62" s="307">
        <v>3000000</v>
      </c>
    </row>
    <row r="63" spans="2:5">
      <c r="B63" s="306" t="s">
        <v>1086</v>
      </c>
      <c r="C63" s="289" t="s">
        <v>1120</v>
      </c>
      <c r="D63" s="288">
        <v>76.152000000000001</v>
      </c>
      <c r="E63" s="307">
        <v>63481</v>
      </c>
    </row>
    <row r="64" spans="2:5">
      <c r="B64" s="306" t="s">
        <v>1087</v>
      </c>
      <c r="C64" s="289" t="s">
        <v>1121</v>
      </c>
      <c r="D64" s="288">
        <v>76.153000000000006</v>
      </c>
      <c r="E64" s="307">
        <v>835722</v>
      </c>
    </row>
    <row r="65" spans="2:5">
      <c r="B65" s="306" t="s">
        <v>1088</v>
      </c>
      <c r="C65" s="289" t="s">
        <v>1122</v>
      </c>
      <c r="D65" s="288">
        <v>76.153999999999996</v>
      </c>
      <c r="E65" s="307">
        <v>0</v>
      </c>
    </row>
    <row r="66" spans="2:5">
      <c r="B66" s="306" t="s">
        <v>1089</v>
      </c>
      <c r="C66" s="289" t="s">
        <v>1123</v>
      </c>
      <c r="D66" s="288">
        <v>76.155000000000001</v>
      </c>
      <c r="E66" s="307">
        <v>2166251</v>
      </c>
    </row>
    <row r="67" spans="2:5">
      <c r="B67" s="306" t="s">
        <v>1090</v>
      </c>
      <c r="C67" s="289" t="s">
        <v>1124</v>
      </c>
      <c r="D67" s="288">
        <v>76.156999999999996</v>
      </c>
      <c r="E67" s="307">
        <v>0</v>
      </c>
    </row>
    <row r="68" spans="2:5">
      <c r="B68" s="306" t="s">
        <v>1091</v>
      </c>
      <c r="C68" s="289" t="s">
        <v>1125</v>
      </c>
      <c r="D68" s="288">
        <v>76.158000000000001</v>
      </c>
      <c r="E68" s="307">
        <v>3070961</v>
      </c>
    </row>
    <row r="69" spans="2:5">
      <c r="B69" s="306" t="s">
        <v>1092</v>
      </c>
      <c r="C69" s="289" t="s">
        <v>1126</v>
      </c>
      <c r="D69" s="340">
        <v>76.16</v>
      </c>
      <c r="E69" s="307">
        <v>610361</v>
      </c>
    </row>
    <row r="70" spans="2:5" ht="30">
      <c r="B70" s="306" t="s">
        <v>1093</v>
      </c>
      <c r="C70" s="305" t="s">
        <v>1127</v>
      </c>
      <c r="D70" s="288">
        <v>76.164000000000001</v>
      </c>
      <c r="E70" s="307"/>
    </row>
    <row r="71" spans="2:5" ht="30">
      <c r="B71" s="306" t="s">
        <v>1094</v>
      </c>
      <c r="C71" s="305" t="s">
        <v>1128</v>
      </c>
      <c r="D71" s="288">
        <v>76.165999999999997</v>
      </c>
      <c r="E71" s="307"/>
    </row>
    <row r="72" spans="2:5" ht="30">
      <c r="B72" s="306" t="s">
        <v>1095</v>
      </c>
      <c r="C72" s="305" t="s">
        <v>1129</v>
      </c>
      <c r="D72" s="288">
        <v>76.167000000000002</v>
      </c>
      <c r="E72" s="307"/>
    </row>
    <row r="73" spans="2:5">
      <c r="B73" s="306" t="s">
        <v>1096</v>
      </c>
      <c r="C73" s="305" t="s">
        <v>1130</v>
      </c>
      <c r="D73" s="340">
        <v>76.17</v>
      </c>
      <c r="E73" s="307"/>
    </row>
    <row r="74" spans="2:5">
      <c r="B74" s="306" t="s">
        <v>1097</v>
      </c>
      <c r="C74" s="305" t="s">
        <v>1131</v>
      </c>
      <c r="D74" s="340">
        <v>76.180000000000007</v>
      </c>
      <c r="E74" s="307">
        <v>4201</v>
      </c>
    </row>
    <row r="75" spans="2:5">
      <c r="B75" s="306" t="s">
        <v>1098</v>
      </c>
      <c r="C75" s="305" t="s">
        <v>1132</v>
      </c>
      <c r="D75" s="288">
        <v>76.180999999999997</v>
      </c>
      <c r="E75" s="307">
        <v>228594</v>
      </c>
    </row>
    <row r="76" spans="2:5">
      <c r="B76" s="306" t="s">
        <v>1099</v>
      </c>
      <c r="C76" s="305" t="s">
        <v>1133</v>
      </c>
      <c r="D76" s="288">
        <v>76.182000000000002</v>
      </c>
      <c r="E76" s="307">
        <v>97342</v>
      </c>
    </row>
    <row r="77" spans="2:5">
      <c r="B77" s="306" t="s">
        <v>1100</v>
      </c>
      <c r="C77" s="305" t="s">
        <v>1134</v>
      </c>
      <c r="D77" s="288">
        <v>76.183000000000007</v>
      </c>
      <c r="E77" s="307">
        <v>540402</v>
      </c>
    </row>
    <row r="78" spans="2:5">
      <c r="B78" s="306" t="s">
        <v>1101</v>
      </c>
      <c r="C78" s="305" t="s">
        <v>1135</v>
      </c>
      <c r="D78" s="288">
        <v>76.183999999999997</v>
      </c>
      <c r="E78" s="307">
        <v>6659</v>
      </c>
    </row>
    <row r="79" spans="2:5">
      <c r="B79" s="306" t="s">
        <v>1102</v>
      </c>
      <c r="C79" s="305" t="s">
        <v>1136</v>
      </c>
      <c r="D79" s="288">
        <v>76.185000000000002</v>
      </c>
      <c r="E79" s="307"/>
    </row>
    <row r="80" spans="2:5">
      <c r="B80" s="306" t="s">
        <v>1103</v>
      </c>
      <c r="C80" s="305" t="s">
        <v>1137</v>
      </c>
      <c r="D80" s="288">
        <v>76.188000000000002</v>
      </c>
      <c r="E80" s="307"/>
    </row>
    <row r="81" spans="2:5">
      <c r="B81" s="306" t="s">
        <v>1104</v>
      </c>
      <c r="C81" s="305" t="s">
        <v>1138</v>
      </c>
      <c r="D81" s="288">
        <v>76.188999999999993</v>
      </c>
      <c r="E81" s="307">
        <v>7071</v>
      </c>
    </row>
    <row r="82" spans="2:5">
      <c r="B82" s="306" t="s">
        <v>1105</v>
      </c>
      <c r="C82" s="305" t="s">
        <v>1139</v>
      </c>
      <c r="D82" s="340">
        <v>76.19</v>
      </c>
      <c r="E82" s="307">
        <v>16617792</v>
      </c>
    </row>
    <row r="83" spans="2:5">
      <c r="B83" s="306" t="s">
        <v>1106</v>
      </c>
      <c r="C83" s="305" t="s">
        <v>1140</v>
      </c>
      <c r="D83" s="288">
        <v>76.191000000000003</v>
      </c>
      <c r="E83" s="307">
        <v>108905</v>
      </c>
    </row>
    <row r="84" spans="2:5">
      <c r="B84" s="306" t="s">
        <v>1107</v>
      </c>
      <c r="C84" s="305" t="s">
        <v>1141</v>
      </c>
      <c r="D84" s="288">
        <v>76.191999999999993</v>
      </c>
      <c r="E84" s="307">
        <v>0</v>
      </c>
    </row>
    <row r="85" spans="2:5">
      <c r="B85" s="306" t="s">
        <v>1098</v>
      </c>
      <c r="C85" s="305" t="s">
        <v>1142</v>
      </c>
      <c r="D85" s="288">
        <v>76.192999999999998</v>
      </c>
      <c r="E85" s="307">
        <v>372490</v>
      </c>
    </row>
    <row r="86" spans="2:5">
      <c r="B86" s="306"/>
      <c r="C86" s="305"/>
      <c r="D86" s="288">
        <v>76.197000000000003</v>
      </c>
      <c r="E86" s="307">
        <v>2703</v>
      </c>
    </row>
    <row r="87" spans="2:5">
      <c r="B87" s="306"/>
      <c r="C87" s="341" t="s">
        <v>1150</v>
      </c>
      <c r="D87" s="290"/>
      <c r="E87" s="309">
        <f>SUM(E49:E61)</f>
        <v>96576562</v>
      </c>
    </row>
    <row r="88" spans="2:5">
      <c r="B88" s="306"/>
      <c r="C88" s="305"/>
      <c r="D88" s="290"/>
      <c r="E88" s="309"/>
    </row>
    <row r="89" spans="2:5">
      <c r="B89" s="308">
        <v>14</v>
      </c>
      <c r="C89" s="341" t="s">
        <v>326</v>
      </c>
      <c r="D89" s="290" t="s">
        <v>1148</v>
      </c>
      <c r="E89" s="309">
        <v>1452088</v>
      </c>
    </row>
    <row r="90" spans="2:5">
      <c r="B90" s="308">
        <v>15</v>
      </c>
      <c r="C90" s="341" t="s">
        <v>1143</v>
      </c>
      <c r="D90" s="290" t="s">
        <v>1149</v>
      </c>
      <c r="E90" s="309">
        <v>41939782</v>
      </c>
    </row>
    <row r="91" spans="2:5" ht="15.75" thickBot="1">
      <c r="B91" s="342"/>
      <c r="C91" s="343" t="s">
        <v>287</v>
      </c>
      <c r="D91" s="312"/>
      <c r="E91" s="313">
        <f>SUM(E87:E90)</f>
        <v>139968432</v>
      </c>
    </row>
    <row r="93" spans="2:5">
      <c r="B93" t="s">
        <v>1154</v>
      </c>
      <c r="E93" t="s">
        <v>1155</v>
      </c>
    </row>
    <row r="94" spans="2:5" ht="15.75" thickBot="1"/>
    <row r="95" spans="2:5" ht="15.75" thickBot="1">
      <c r="B95" s="356" t="s">
        <v>349</v>
      </c>
      <c r="C95" s="357" t="s">
        <v>331</v>
      </c>
      <c r="D95" s="358" t="s">
        <v>1156</v>
      </c>
      <c r="E95" s="345"/>
    </row>
    <row r="96" spans="2:5">
      <c r="B96" s="314" t="s">
        <v>1030</v>
      </c>
      <c r="C96" s="315" t="s">
        <v>1159</v>
      </c>
      <c r="D96" s="317"/>
      <c r="E96" s="345"/>
    </row>
    <row r="97" spans="2:6">
      <c r="B97" s="306">
        <v>1</v>
      </c>
      <c r="C97" s="289" t="s">
        <v>158</v>
      </c>
      <c r="D97" s="307">
        <v>38945288388</v>
      </c>
    </row>
    <row r="98" spans="2:6">
      <c r="B98" s="306">
        <v>2</v>
      </c>
      <c r="C98" s="289" t="s">
        <v>1157</v>
      </c>
      <c r="D98" s="307">
        <v>3066800783</v>
      </c>
      <c r="E98">
        <f>D98/10^7</f>
        <v>306.68007829999999</v>
      </c>
      <c r="F98">
        <f>E98-F32</f>
        <v>209.08921759999998</v>
      </c>
    </row>
    <row r="99" spans="2:6">
      <c r="B99" s="306">
        <v>3</v>
      </c>
      <c r="C99" s="289" t="s">
        <v>1158</v>
      </c>
      <c r="D99" s="307">
        <f>D97+D98</f>
        <v>42012089171</v>
      </c>
    </row>
    <row r="100" spans="2:6">
      <c r="B100" s="306" t="s">
        <v>1031</v>
      </c>
      <c r="C100" s="289" t="s">
        <v>384</v>
      </c>
      <c r="D100" s="307"/>
    </row>
    <row r="101" spans="2:6">
      <c r="B101" s="306">
        <v>4</v>
      </c>
      <c r="C101" s="289" t="s">
        <v>408</v>
      </c>
      <c r="D101" s="307">
        <v>9143364910</v>
      </c>
    </row>
    <row r="102" spans="2:6">
      <c r="B102" s="306">
        <v>5</v>
      </c>
      <c r="C102" s="289" t="s">
        <v>1157</v>
      </c>
      <c r="D102" s="307">
        <v>726821036</v>
      </c>
    </row>
    <row r="103" spans="2:6" ht="15.75" thickBot="1">
      <c r="B103" s="355">
        <v>6</v>
      </c>
      <c r="C103" s="324" t="s">
        <v>1158</v>
      </c>
      <c r="D103" s="325">
        <f>D101+D102</f>
        <v>9870185946</v>
      </c>
    </row>
    <row r="106" spans="2:6">
      <c r="B106" t="s">
        <v>1236</v>
      </c>
      <c r="E106" t="s">
        <v>1237</v>
      </c>
    </row>
    <row r="107" spans="2:6" ht="15.75" thickBot="1">
      <c r="D107" s="359"/>
    </row>
    <row r="108" spans="2:6" ht="30.75" thickBot="1">
      <c r="B108" s="318" t="s">
        <v>1003</v>
      </c>
      <c r="C108" s="319" t="s">
        <v>331</v>
      </c>
      <c r="D108" s="320" t="s">
        <v>1051</v>
      </c>
      <c r="E108" s="321" t="s">
        <v>1050</v>
      </c>
    </row>
    <row r="109" spans="2:6">
      <c r="B109" s="314">
        <v>1</v>
      </c>
      <c r="C109" s="315" t="s">
        <v>1238</v>
      </c>
      <c r="D109" s="316">
        <v>79.099999999999994</v>
      </c>
      <c r="E109" s="317"/>
    </row>
    <row r="110" spans="2:6">
      <c r="B110" s="306">
        <v>2</v>
      </c>
      <c r="C110" s="289" t="s">
        <v>1239</v>
      </c>
      <c r="D110" s="288">
        <v>79.2</v>
      </c>
      <c r="E110" s="307">
        <v>0</v>
      </c>
    </row>
    <row r="111" spans="2:6">
      <c r="B111" s="306">
        <v>3</v>
      </c>
      <c r="C111" s="289" t="s">
        <v>1240</v>
      </c>
      <c r="D111" s="288">
        <v>79.400000000000006</v>
      </c>
      <c r="E111" s="307">
        <v>0</v>
      </c>
    </row>
    <row r="112" spans="2:6">
      <c r="B112" s="306">
        <v>4</v>
      </c>
      <c r="C112" s="289" t="s">
        <v>1241</v>
      </c>
      <c r="D112" s="288">
        <v>79.5</v>
      </c>
      <c r="E112" s="307">
        <v>444556</v>
      </c>
    </row>
    <row r="113" spans="2:5">
      <c r="B113" s="306">
        <v>5</v>
      </c>
      <c r="C113" s="289" t="s">
        <v>1242</v>
      </c>
      <c r="D113" s="288">
        <v>79.7</v>
      </c>
      <c r="E113" s="307">
        <v>0</v>
      </c>
    </row>
    <row r="114" spans="2:5" ht="15.75" thickBot="1">
      <c r="B114" s="355">
        <v>6</v>
      </c>
      <c r="C114" s="324" t="s">
        <v>287</v>
      </c>
      <c r="D114" s="324"/>
      <c r="E114" s="325">
        <f>SUM(E109:E113)</f>
        <v>444556</v>
      </c>
    </row>
    <row r="117" spans="2:5">
      <c r="B117" t="s">
        <v>1243</v>
      </c>
      <c r="E117" t="s">
        <v>1244</v>
      </c>
    </row>
    <row r="118" spans="2:5" ht="15.75" thickBot="1"/>
    <row r="119" spans="2:5" ht="30.75" thickBot="1">
      <c r="B119" s="318" t="s">
        <v>1003</v>
      </c>
      <c r="C119" s="319" t="s">
        <v>331</v>
      </c>
      <c r="D119" s="320" t="s">
        <v>1051</v>
      </c>
      <c r="E119" s="321" t="s">
        <v>1050</v>
      </c>
    </row>
    <row r="120" spans="2:5">
      <c r="B120" s="314">
        <v>1</v>
      </c>
      <c r="C120" s="315" t="s">
        <v>1245</v>
      </c>
      <c r="D120" s="316" t="s">
        <v>1246</v>
      </c>
      <c r="E120" s="317">
        <v>37862</v>
      </c>
    </row>
    <row r="121" spans="2:5">
      <c r="B121" s="306">
        <v>2</v>
      </c>
      <c r="C121" s="289" t="s">
        <v>1247</v>
      </c>
      <c r="D121" s="288" t="s">
        <v>1248</v>
      </c>
      <c r="E121" s="307"/>
    </row>
    <row r="122" spans="2:5" ht="30">
      <c r="B122" s="306">
        <v>3</v>
      </c>
      <c r="C122" s="305" t="s">
        <v>1249</v>
      </c>
      <c r="D122" s="340">
        <v>62.24</v>
      </c>
      <c r="E122" s="307"/>
    </row>
    <row r="123" spans="2:5" ht="30">
      <c r="B123" s="306">
        <v>4</v>
      </c>
      <c r="C123" s="305" t="s">
        <v>1250</v>
      </c>
      <c r="D123" s="340">
        <v>62.26</v>
      </c>
      <c r="E123" s="307"/>
    </row>
    <row r="124" spans="2:5" ht="16.5" customHeight="1">
      <c r="B124" s="306">
        <v>5</v>
      </c>
      <c r="C124" s="305" t="s">
        <v>1251</v>
      </c>
      <c r="D124" s="340">
        <v>62.27</v>
      </c>
      <c r="E124" s="307"/>
    </row>
    <row r="125" spans="2:5" ht="30">
      <c r="B125" s="306">
        <v>6</v>
      </c>
      <c r="C125" s="305" t="s">
        <v>1252</v>
      </c>
      <c r="D125" s="340">
        <v>62.28</v>
      </c>
      <c r="E125" s="307"/>
    </row>
    <row r="126" spans="2:5" ht="14.25" customHeight="1">
      <c r="B126" s="306">
        <v>7</v>
      </c>
      <c r="C126" s="305" t="s">
        <v>1253</v>
      </c>
      <c r="D126" s="288">
        <v>62.3</v>
      </c>
      <c r="E126" s="307">
        <v>1180881</v>
      </c>
    </row>
    <row r="127" spans="2:5" ht="13.5" customHeight="1">
      <c r="B127" s="306">
        <v>8</v>
      </c>
      <c r="C127" s="305" t="s">
        <v>1254</v>
      </c>
      <c r="D127" s="288">
        <v>62.6</v>
      </c>
      <c r="E127" s="307">
        <v>67844</v>
      </c>
    </row>
    <row r="128" spans="2:5">
      <c r="B128" s="306">
        <v>9</v>
      </c>
      <c r="C128" s="305" t="s">
        <v>1255</v>
      </c>
      <c r="D128" s="288">
        <v>62.9</v>
      </c>
      <c r="E128" s="307">
        <v>197611086</v>
      </c>
    </row>
    <row r="129" spans="2:5" ht="15.75" thickBot="1">
      <c r="B129" s="323"/>
      <c r="C129" s="511" t="s">
        <v>287</v>
      </c>
      <c r="D129" s="324"/>
      <c r="E129" s="325">
        <f>SUM(E120:E128)</f>
        <v>198897673</v>
      </c>
    </row>
    <row r="131" spans="2:5">
      <c r="B131" t="s">
        <v>1256</v>
      </c>
      <c r="E131" t="s">
        <v>1257</v>
      </c>
    </row>
    <row r="132" spans="2:5" ht="15.75" thickBot="1"/>
    <row r="133" spans="2:5" ht="30.75" thickBot="1">
      <c r="B133" s="506" t="s">
        <v>1003</v>
      </c>
      <c r="C133" s="507" t="s">
        <v>331</v>
      </c>
      <c r="D133" s="508" t="s">
        <v>1051</v>
      </c>
      <c r="E133" s="509" t="s">
        <v>1050</v>
      </c>
    </row>
    <row r="134" spans="2:5">
      <c r="B134" s="512" t="s">
        <v>336</v>
      </c>
      <c r="C134" s="513"/>
      <c r="D134" s="513"/>
      <c r="E134" s="514"/>
    </row>
    <row r="135" spans="2:5" ht="30">
      <c r="B135" s="306">
        <v>1</v>
      </c>
      <c r="C135" s="305" t="s">
        <v>1259</v>
      </c>
      <c r="D135" s="516">
        <v>61.83</v>
      </c>
      <c r="E135" s="518">
        <v>56666892</v>
      </c>
    </row>
    <row r="136" spans="2:5" ht="30">
      <c r="B136" s="519">
        <v>2</v>
      </c>
      <c r="C136" s="520" t="s">
        <v>1258</v>
      </c>
      <c r="D136" s="521">
        <v>61.831000000000003</v>
      </c>
      <c r="E136" s="522">
        <v>4019700000</v>
      </c>
    </row>
    <row r="137" spans="2:5" ht="15.75" thickBot="1">
      <c r="B137" s="323"/>
      <c r="C137" s="324" t="s">
        <v>287</v>
      </c>
      <c r="D137" s="324"/>
      <c r="E137" s="325">
        <f>SUM(E135:E136)</f>
        <v>4076366892</v>
      </c>
    </row>
    <row r="139" spans="2:5">
      <c r="B139" t="s">
        <v>1260</v>
      </c>
      <c r="E139" t="s">
        <v>1261</v>
      </c>
    </row>
    <row r="140" spans="2:5" ht="15.75" thickBot="1"/>
    <row r="141" spans="2:5" ht="30.75" thickBot="1">
      <c r="B141" s="318" t="s">
        <v>1003</v>
      </c>
      <c r="C141" s="319" t="s">
        <v>331</v>
      </c>
      <c r="D141" s="320" t="s">
        <v>1051</v>
      </c>
      <c r="E141" s="321" t="s">
        <v>1050</v>
      </c>
    </row>
    <row r="142" spans="2:5">
      <c r="B142" s="327">
        <v>1</v>
      </c>
      <c r="C142" s="315" t="s">
        <v>1262</v>
      </c>
      <c r="D142" s="315"/>
      <c r="E142" s="317"/>
    </row>
    <row r="143" spans="2:5">
      <c r="B143" s="328"/>
      <c r="C143" s="289" t="s">
        <v>1263</v>
      </c>
      <c r="D143" s="330">
        <v>65.400000000000006</v>
      </c>
      <c r="E143" s="307"/>
    </row>
    <row r="144" spans="2:5">
      <c r="B144" s="328"/>
      <c r="C144" s="289" t="s">
        <v>1264</v>
      </c>
      <c r="D144" s="330">
        <v>65.599999999999994</v>
      </c>
      <c r="E144" s="307"/>
    </row>
    <row r="145" spans="2:5" ht="30">
      <c r="B145" s="328"/>
      <c r="C145" s="305" t="s">
        <v>1265</v>
      </c>
      <c r="D145" s="330">
        <v>65.7</v>
      </c>
      <c r="E145" s="307"/>
    </row>
    <row r="146" spans="2:5">
      <c r="B146" s="328"/>
      <c r="C146" s="289" t="s">
        <v>1266</v>
      </c>
      <c r="D146" s="330">
        <v>65.8</v>
      </c>
      <c r="E146" s="307">
        <v>38384</v>
      </c>
    </row>
    <row r="147" spans="2:5">
      <c r="B147" s="328"/>
      <c r="C147" s="289" t="s">
        <v>1243</v>
      </c>
      <c r="D147" s="330">
        <v>65.900000000000006</v>
      </c>
      <c r="E147" s="307">
        <v>134299</v>
      </c>
    </row>
    <row r="148" spans="2:5">
      <c r="B148" s="328"/>
      <c r="C148" s="289" t="s">
        <v>1033</v>
      </c>
      <c r="D148" s="289"/>
      <c r="E148" s="307">
        <f>SUM(E143:E147)</f>
        <v>172683</v>
      </c>
    </row>
    <row r="149" spans="2:5">
      <c r="B149" s="328"/>
      <c r="C149" s="289"/>
      <c r="D149" s="289"/>
      <c r="E149" s="307"/>
    </row>
    <row r="150" spans="2:5">
      <c r="B150" s="328">
        <v>2</v>
      </c>
      <c r="C150" s="289" t="s">
        <v>1267</v>
      </c>
      <c r="D150" s="289"/>
      <c r="E150" s="307"/>
    </row>
    <row r="151" spans="2:5">
      <c r="B151" s="328"/>
      <c r="C151" s="289" t="s">
        <v>1268</v>
      </c>
      <c r="D151" s="288">
        <v>83.3</v>
      </c>
      <c r="E151" s="307">
        <v>546192</v>
      </c>
    </row>
    <row r="152" spans="2:5">
      <c r="B152" s="328"/>
      <c r="C152" s="289" t="s">
        <v>1071</v>
      </c>
      <c r="D152" s="288">
        <v>83.5</v>
      </c>
      <c r="E152" s="307">
        <v>9150270</v>
      </c>
    </row>
    <row r="153" spans="2:5">
      <c r="B153" s="328"/>
      <c r="C153" s="289" t="s">
        <v>1269</v>
      </c>
      <c r="D153" s="288">
        <v>83.6</v>
      </c>
      <c r="E153" s="307"/>
    </row>
    <row r="154" spans="2:5">
      <c r="B154" s="328"/>
      <c r="C154" s="289" t="s">
        <v>1270</v>
      </c>
      <c r="D154" s="288">
        <v>83.7</v>
      </c>
      <c r="E154" s="307">
        <v>162034</v>
      </c>
    </row>
    <row r="155" spans="2:5">
      <c r="B155" s="328"/>
      <c r="C155" s="289" t="s">
        <v>1271</v>
      </c>
      <c r="D155" s="340">
        <v>83.82</v>
      </c>
      <c r="E155" s="307">
        <v>197990</v>
      </c>
    </row>
    <row r="156" spans="2:5">
      <c r="B156" s="328"/>
      <c r="C156" s="289" t="s">
        <v>1272</v>
      </c>
      <c r="D156" s="340">
        <v>83.84</v>
      </c>
      <c r="E156" s="307"/>
    </row>
    <row r="157" spans="2:5">
      <c r="B157" s="328"/>
      <c r="C157" s="289" t="s">
        <v>287</v>
      </c>
      <c r="D157" s="289"/>
      <c r="E157" s="307">
        <f>SUM(E151:E156)</f>
        <v>10056486</v>
      </c>
    </row>
    <row r="158" spans="2:5">
      <c r="B158" s="328"/>
      <c r="C158" s="289"/>
      <c r="D158" s="289"/>
      <c r="E158" s="307"/>
    </row>
    <row r="159" spans="2:5" ht="15.75" thickBot="1">
      <c r="B159" s="323"/>
      <c r="C159" s="324" t="s">
        <v>1273</v>
      </c>
      <c r="D159" s="324"/>
      <c r="E159" s="325">
        <f>E148-E157</f>
        <v>-9883803</v>
      </c>
    </row>
    <row r="161" spans="2:13">
      <c r="B161" t="s">
        <v>1275</v>
      </c>
      <c r="E161" t="s">
        <v>1274</v>
      </c>
    </row>
    <row r="162" spans="2:13" ht="15.75" thickBot="1"/>
    <row r="163" spans="2:13" ht="30.75" thickBot="1">
      <c r="B163" s="318" t="s">
        <v>1003</v>
      </c>
      <c r="C163" s="319" t="s">
        <v>331</v>
      </c>
      <c r="D163" s="320" t="s">
        <v>1051</v>
      </c>
      <c r="E163" s="536" t="s">
        <v>1276</v>
      </c>
      <c r="F163" s="536" t="s">
        <v>1277</v>
      </c>
      <c r="G163" s="536" t="s">
        <v>1278</v>
      </c>
      <c r="H163" s="321" t="s">
        <v>1279</v>
      </c>
    </row>
    <row r="164" spans="2:13" ht="30">
      <c r="B164" s="537">
        <v>1</v>
      </c>
      <c r="C164" s="538" t="s">
        <v>1280</v>
      </c>
      <c r="D164" s="539">
        <v>54.1</v>
      </c>
      <c r="E164" s="513">
        <v>0</v>
      </c>
      <c r="F164" s="513">
        <v>0</v>
      </c>
      <c r="G164" s="513">
        <v>0</v>
      </c>
      <c r="H164" s="514">
        <f>E164+F164-G164</f>
        <v>0</v>
      </c>
    </row>
    <row r="165" spans="2:13" ht="30">
      <c r="B165" s="306">
        <v>2</v>
      </c>
      <c r="C165" s="305" t="s">
        <v>1281</v>
      </c>
      <c r="D165" s="288">
        <v>54.2</v>
      </c>
      <c r="E165" s="289">
        <v>0</v>
      </c>
      <c r="F165" s="289">
        <v>0</v>
      </c>
      <c r="G165" s="289">
        <v>0</v>
      </c>
      <c r="H165" s="317">
        <f>E165+F165-G165</f>
        <v>0</v>
      </c>
    </row>
    <row r="166" spans="2:13">
      <c r="B166" s="306"/>
      <c r="C166" s="304" t="s">
        <v>287</v>
      </c>
      <c r="D166" s="288"/>
      <c r="E166" s="289">
        <f>SUM(E164:E165)</f>
        <v>0</v>
      </c>
      <c r="F166" s="289">
        <f>SUM(F164:F165)</f>
        <v>0</v>
      </c>
      <c r="G166" s="289">
        <f>SUM(G164:G165)</f>
        <v>0</v>
      </c>
      <c r="H166" s="307">
        <f>SUM(H164:H165)</f>
        <v>0</v>
      </c>
    </row>
    <row r="167" spans="2:13" ht="30">
      <c r="B167" s="306">
        <v>3</v>
      </c>
      <c r="C167" s="305" t="s">
        <v>1282</v>
      </c>
      <c r="D167" s="288" t="s">
        <v>1285</v>
      </c>
      <c r="E167" s="289">
        <v>0</v>
      </c>
      <c r="F167" s="289">
        <v>0</v>
      </c>
      <c r="G167" s="289">
        <v>0</v>
      </c>
      <c r="H167" s="307">
        <v>0</v>
      </c>
    </row>
    <row r="168" spans="2:13">
      <c r="B168" s="306">
        <v>4</v>
      </c>
      <c r="C168" s="305" t="s">
        <v>1283</v>
      </c>
      <c r="D168" s="288">
        <v>54.5</v>
      </c>
      <c r="E168" s="289">
        <v>16506200000</v>
      </c>
      <c r="F168" s="289">
        <v>500000</v>
      </c>
      <c r="G168" s="289">
        <v>0</v>
      </c>
      <c r="H168" s="317">
        <f>E168+F168-G168</f>
        <v>16506700000</v>
      </c>
      <c r="J168">
        <f>E168/10^7</f>
        <v>1650.62</v>
      </c>
      <c r="K168">
        <f>F168/10^7</f>
        <v>0.05</v>
      </c>
      <c r="L168">
        <f>G168/10^7</f>
        <v>0</v>
      </c>
      <c r="M168">
        <f>H168/10^7</f>
        <v>1650.67</v>
      </c>
    </row>
    <row r="169" spans="2:13">
      <c r="B169" s="306">
        <v>5</v>
      </c>
      <c r="C169" s="289" t="s">
        <v>1284</v>
      </c>
      <c r="D169" s="288">
        <v>54.7</v>
      </c>
      <c r="E169" s="289">
        <v>0</v>
      </c>
      <c r="F169" s="289">
        <v>0</v>
      </c>
      <c r="G169" s="289">
        <v>0</v>
      </c>
      <c r="H169" s="317">
        <f>E169+F169-G169</f>
        <v>0</v>
      </c>
    </row>
    <row r="170" spans="2:13" ht="15.75" thickBot="1">
      <c r="B170" s="323"/>
      <c r="C170" s="312" t="s">
        <v>354</v>
      </c>
      <c r="D170" s="324"/>
      <c r="E170" s="324">
        <f>SUM(E166:E169)</f>
        <v>16506200000</v>
      </c>
      <c r="F170" s="324">
        <f>SUM(F166:F169)</f>
        <v>500000</v>
      </c>
      <c r="G170" s="324">
        <f>SUM(G166:G169)</f>
        <v>0</v>
      </c>
      <c r="H170" s="325">
        <f>SUM(H166:H169)</f>
        <v>16506700000</v>
      </c>
    </row>
    <row r="172" spans="2:13">
      <c r="B172" t="s">
        <v>1286</v>
      </c>
      <c r="F172" t="s">
        <v>1287</v>
      </c>
    </row>
    <row r="173" spans="2:13" ht="15.75" thickBot="1"/>
    <row r="174" spans="2:13" ht="30.75" thickBot="1">
      <c r="B174" s="318" t="s">
        <v>349</v>
      </c>
      <c r="C174" s="319" t="s">
        <v>331</v>
      </c>
      <c r="D174" s="541" t="s">
        <v>1051</v>
      </c>
      <c r="E174" s="536" t="s">
        <v>1288</v>
      </c>
      <c r="F174" s="536" t="s">
        <v>1289</v>
      </c>
      <c r="G174" s="321" t="s">
        <v>1290</v>
      </c>
    </row>
    <row r="175" spans="2:13">
      <c r="B175" s="327">
        <v>1</v>
      </c>
      <c r="C175" s="315" t="s">
        <v>1291</v>
      </c>
      <c r="D175" s="316" t="s">
        <v>1292</v>
      </c>
      <c r="E175" s="315">
        <v>0</v>
      </c>
      <c r="F175" s="315">
        <v>3600000</v>
      </c>
      <c r="G175" s="317">
        <f>E175+F175</f>
        <v>3600000</v>
      </c>
    </row>
    <row r="176" spans="2:13" ht="30">
      <c r="B176" s="328">
        <v>2</v>
      </c>
      <c r="C176" s="305" t="s">
        <v>1293</v>
      </c>
      <c r="D176" s="288">
        <v>55.2</v>
      </c>
      <c r="E176" s="289">
        <v>0</v>
      </c>
      <c r="F176" s="289">
        <v>0</v>
      </c>
      <c r="G176" s="317">
        <f>E176+F176</f>
        <v>0</v>
      </c>
    </row>
    <row r="177" spans="2:8">
      <c r="B177" s="328">
        <v>3</v>
      </c>
      <c r="C177" s="305" t="s">
        <v>1294</v>
      </c>
      <c r="D177" s="288">
        <v>55.3</v>
      </c>
      <c r="E177" s="289">
        <v>0</v>
      </c>
      <c r="F177" s="289">
        <v>0</v>
      </c>
      <c r="G177" s="317">
        <f>E177+F177</f>
        <v>0</v>
      </c>
    </row>
    <row r="178" spans="2:8" ht="15.75" thickBot="1">
      <c r="B178" s="540">
        <v>4</v>
      </c>
      <c r="C178" s="324" t="s">
        <v>287</v>
      </c>
      <c r="D178" s="324"/>
      <c r="E178" s="324">
        <f>SUM(E175:E177)</f>
        <v>0</v>
      </c>
      <c r="F178" s="324">
        <f>SUM(F175:F177)</f>
        <v>3600000</v>
      </c>
      <c r="G178" s="325">
        <f>E178+F178</f>
        <v>3600000</v>
      </c>
    </row>
    <row r="180" spans="2:8">
      <c r="B180" t="s">
        <v>1295</v>
      </c>
      <c r="F180" t="s">
        <v>1296</v>
      </c>
    </row>
    <row r="181" spans="2:8" ht="15.75" thickBot="1"/>
    <row r="182" spans="2:8" ht="30.75" thickBot="1">
      <c r="B182" s="318" t="s">
        <v>349</v>
      </c>
      <c r="C182" s="319" t="s">
        <v>331</v>
      </c>
      <c r="D182" s="541" t="s">
        <v>1051</v>
      </c>
      <c r="E182" s="536" t="s">
        <v>1288</v>
      </c>
      <c r="F182" s="536" t="s">
        <v>1289</v>
      </c>
      <c r="G182" s="536" t="s">
        <v>1297</v>
      </c>
      <c r="H182" s="321" t="s">
        <v>1290</v>
      </c>
    </row>
    <row r="183" spans="2:8">
      <c r="B183" s="314">
        <v>1</v>
      </c>
      <c r="C183" s="315" t="s">
        <v>360</v>
      </c>
      <c r="D183" s="316">
        <v>56.1</v>
      </c>
      <c r="E183" s="315">
        <v>0</v>
      </c>
      <c r="F183" s="315">
        <v>23189294</v>
      </c>
      <c r="G183" s="315">
        <v>16331202</v>
      </c>
      <c r="H183" s="317">
        <f>E183+F183-G183</f>
        <v>6858092</v>
      </c>
    </row>
    <row r="184" spans="2:8" ht="30">
      <c r="B184" s="306">
        <v>2</v>
      </c>
      <c r="C184" s="305" t="s">
        <v>1298</v>
      </c>
      <c r="D184" s="288" t="s">
        <v>1309</v>
      </c>
      <c r="E184" s="289">
        <v>0</v>
      </c>
      <c r="F184" s="289">
        <v>29303528</v>
      </c>
      <c r="G184" s="289">
        <v>0</v>
      </c>
      <c r="H184" s="307">
        <f>E184+F184-G184</f>
        <v>29303528</v>
      </c>
    </row>
    <row r="185" spans="2:8">
      <c r="B185" s="306"/>
      <c r="C185" s="289" t="s">
        <v>1299</v>
      </c>
      <c r="D185" s="289"/>
      <c r="E185" s="289">
        <f>SUM(E183:E184)</f>
        <v>0</v>
      </c>
      <c r="F185" s="289">
        <f>SUM(F183:F184)</f>
        <v>52492822</v>
      </c>
      <c r="G185" s="289">
        <f>SUM(G183:G184)</f>
        <v>16331202</v>
      </c>
      <c r="H185" s="307">
        <f>SUM(H183:H184)</f>
        <v>36161620</v>
      </c>
    </row>
    <row r="186" spans="2:8">
      <c r="B186" s="306"/>
      <c r="C186" s="289"/>
      <c r="D186" s="289"/>
      <c r="E186" s="289"/>
      <c r="F186" s="289"/>
      <c r="G186" s="289"/>
      <c r="H186" s="307"/>
    </row>
    <row r="187" spans="2:8">
      <c r="B187" s="306">
        <v>3</v>
      </c>
      <c r="C187" s="289" t="s">
        <v>1300</v>
      </c>
      <c r="D187" s="340">
        <v>57.12</v>
      </c>
      <c r="E187" s="289">
        <v>0</v>
      </c>
      <c r="F187" s="289">
        <v>0</v>
      </c>
      <c r="G187" s="289">
        <v>0</v>
      </c>
      <c r="H187" s="307">
        <f>E187+F187-G187</f>
        <v>0</v>
      </c>
    </row>
    <row r="188" spans="2:8">
      <c r="B188" s="306">
        <v>4</v>
      </c>
      <c r="C188" s="289" t="s">
        <v>1301</v>
      </c>
      <c r="D188" s="340">
        <v>57.125</v>
      </c>
      <c r="E188" s="289">
        <v>0</v>
      </c>
      <c r="F188" s="289">
        <v>0</v>
      </c>
      <c r="G188" s="289">
        <v>0</v>
      </c>
      <c r="H188" s="307">
        <f t="shared" ref="H188:H193" si="0">E188+F188-G188</f>
        <v>0</v>
      </c>
    </row>
    <row r="189" spans="2:8">
      <c r="B189" s="306">
        <v>5</v>
      </c>
      <c r="C189" s="289" t="s">
        <v>1302</v>
      </c>
      <c r="D189" s="340">
        <v>57.13</v>
      </c>
      <c r="E189" s="289">
        <v>0</v>
      </c>
      <c r="F189" s="289">
        <v>0</v>
      </c>
      <c r="G189" s="289">
        <v>0</v>
      </c>
      <c r="H189" s="307">
        <f t="shared" si="0"/>
        <v>0</v>
      </c>
    </row>
    <row r="190" spans="2:8" ht="30">
      <c r="B190" s="306">
        <v>6</v>
      </c>
      <c r="C190" s="305" t="s">
        <v>1303</v>
      </c>
      <c r="D190" s="340">
        <v>57.14</v>
      </c>
      <c r="E190" s="289">
        <v>0</v>
      </c>
      <c r="F190" s="289">
        <v>0</v>
      </c>
      <c r="G190" s="289">
        <v>0</v>
      </c>
      <c r="H190" s="307">
        <f t="shared" si="0"/>
        <v>0</v>
      </c>
    </row>
    <row r="191" spans="2:8">
      <c r="B191" s="306">
        <v>7</v>
      </c>
      <c r="C191" s="289" t="s">
        <v>1304</v>
      </c>
      <c r="D191" s="340">
        <v>57.15</v>
      </c>
      <c r="E191" s="289">
        <v>0</v>
      </c>
      <c r="F191" s="289">
        <v>0</v>
      </c>
      <c r="G191" s="289">
        <v>0</v>
      </c>
      <c r="H191" s="307">
        <f t="shared" si="0"/>
        <v>0</v>
      </c>
    </row>
    <row r="192" spans="2:8" ht="30">
      <c r="B192" s="306">
        <v>8</v>
      </c>
      <c r="C192" s="305" t="s">
        <v>1305</v>
      </c>
      <c r="D192" s="340">
        <v>57.16</v>
      </c>
      <c r="E192" s="289">
        <v>0</v>
      </c>
      <c r="F192" s="289">
        <v>2751860</v>
      </c>
      <c r="G192" s="289">
        <v>0</v>
      </c>
      <c r="H192" s="307">
        <f t="shared" si="0"/>
        <v>2751860</v>
      </c>
    </row>
    <row r="193" spans="2:8" ht="30">
      <c r="B193" s="306">
        <v>9</v>
      </c>
      <c r="C193" s="305" t="s">
        <v>1306</v>
      </c>
      <c r="D193" s="340">
        <v>57.164999999999999</v>
      </c>
      <c r="E193" s="289">
        <v>0</v>
      </c>
      <c r="F193" s="289">
        <v>2729480</v>
      </c>
      <c r="G193" s="289">
        <v>0</v>
      </c>
      <c r="H193" s="307">
        <f t="shared" si="0"/>
        <v>2729480</v>
      </c>
    </row>
    <row r="194" spans="2:8">
      <c r="B194" s="306"/>
      <c r="C194" s="289" t="s">
        <v>1307</v>
      </c>
      <c r="D194" s="289"/>
      <c r="E194" s="289">
        <f>SUM(E187:E193)</f>
        <v>0</v>
      </c>
      <c r="F194" s="289">
        <f>SUM(F187:F193)</f>
        <v>5481340</v>
      </c>
      <c r="G194" s="289">
        <f>SUM(G187:G193)</f>
        <v>0</v>
      </c>
      <c r="H194" s="307">
        <f>SUM(H187:H193)</f>
        <v>5481340</v>
      </c>
    </row>
    <row r="195" spans="2:8">
      <c r="B195" s="306"/>
      <c r="C195" s="289"/>
      <c r="D195" s="289"/>
      <c r="E195" s="289"/>
      <c r="F195" s="289"/>
      <c r="G195" s="289"/>
      <c r="H195" s="307"/>
    </row>
    <row r="196" spans="2:8">
      <c r="B196" s="306"/>
      <c r="C196" s="289" t="s">
        <v>1308</v>
      </c>
      <c r="D196" s="289"/>
      <c r="E196" s="289">
        <f>E185+E194</f>
        <v>0</v>
      </c>
      <c r="F196" s="289">
        <f>F185+F194</f>
        <v>57974162</v>
      </c>
      <c r="G196" s="289">
        <f>G185+G194</f>
        <v>16331202</v>
      </c>
      <c r="H196" s="307">
        <f>H185+H194</f>
        <v>41642960</v>
      </c>
    </row>
    <row r="197" spans="2:8" ht="15.75" thickBot="1">
      <c r="B197" s="323"/>
      <c r="C197" s="324"/>
      <c r="D197" s="324"/>
      <c r="E197" s="324"/>
      <c r="F197" s="324"/>
      <c r="G197" s="324"/>
      <c r="H197" s="325"/>
    </row>
    <row r="199" spans="2:8">
      <c r="B199" t="s">
        <v>1310</v>
      </c>
      <c r="E199" t="s">
        <v>1327</v>
      </c>
    </row>
    <row r="200" spans="2:8" ht="15.75" thickBot="1"/>
    <row r="201" spans="2:8">
      <c r="B201" s="548" t="s">
        <v>1003</v>
      </c>
      <c r="C201" s="549" t="s">
        <v>331</v>
      </c>
      <c r="D201" s="549" t="s">
        <v>1311</v>
      </c>
      <c r="E201" s="550" t="s">
        <v>1312</v>
      </c>
    </row>
    <row r="202" spans="2:8">
      <c r="B202" s="306">
        <v>1</v>
      </c>
      <c r="C202" s="289" t="s">
        <v>1313</v>
      </c>
      <c r="D202" s="340">
        <v>28.61</v>
      </c>
      <c r="E202" s="551">
        <v>0</v>
      </c>
    </row>
    <row r="203" spans="2:8">
      <c r="B203" s="306">
        <v>2</v>
      </c>
      <c r="C203" s="289" t="s">
        <v>1314</v>
      </c>
      <c r="D203" s="340">
        <v>28.62</v>
      </c>
      <c r="E203" s="551">
        <v>0</v>
      </c>
    </row>
    <row r="204" spans="2:8" ht="30">
      <c r="B204" s="306">
        <v>3</v>
      </c>
      <c r="C204" s="305" t="s">
        <v>1315</v>
      </c>
      <c r="D204" s="288">
        <v>28.623999999999999</v>
      </c>
      <c r="E204" s="551">
        <v>0</v>
      </c>
    </row>
    <row r="205" spans="2:8" ht="15.75" thickBot="1">
      <c r="B205" s="323"/>
      <c r="C205" s="324" t="s">
        <v>287</v>
      </c>
      <c r="D205" s="324"/>
      <c r="E205" s="552">
        <f>SUM(E202:E204)</f>
        <v>0</v>
      </c>
    </row>
    <row r="207" spans="2:8">
      <c r="B207" t="s">
        <v>1328</v>
      </c>
      <c r="E207" t="s">
        <v>1329</v>
      </c>
    </row>
    <row r="208" spans="2:8" ht="15.75" thickBot="1"/>
    <row r="209" spans="2:6">
      <c r="B209" s="546" t="s">
        <v>1003</v>
      </c>
      <c r="C209" s="547" t="s">
        <v>331</v>
      </c>
      <c r="D209" s="547" t="s">
        <v>1311</v>
      </c>
      <c r="E209" s="553" t="s">
        <v>1312</v>
      </c>
      <c r="F209" s="550" t="s">
        <v>1336</v>
      </c>
    </row>
    <row r="210" spans="2:6">
      <c r="B210" s="306">
        <v>1</v>
      </c>
      <c r="C210" s="289" t="s">
        <v>1330</v>
      </c>
      <c r="D210" s="330">
        <v>50.1</v>
      </c>
      <c r="E210" s="554">
        <v>0</v>
      </c>
      <c r="F210" s="307">
        <v>0</v>
      </c>
    </row>
    <row r="211" spans="2:6">
      <c r="B211" s="306">
        <v>2</v>
      </c>
      <c r="C211" s="289" t="s">
        <v>1331</v>
      </c>
      <c r="D211" s="330">
        <v>50.2</v>
      </c>
      <c r="E211" s="554">
        <v>0</v>
      </c>
      <c r="F211" s="307">
        <v>0</v>
      </c>
    </row>
    <row r="212" spans="2:6">
      <c r="B212" s="306">
        <v>3</v>
      </c>
      <c r="C212" s="289" t="s">
        <v>1332</v>
      </c>
      <c r="D212" s="330">
        <v>50.3</v>
      </c>
      <c r="E212" s="554">
        <v>0</v>
      </c>
      <c r="F212" s="307">
        <v>0</v>
      </c>
    </row>
    <row r="213" spans="2:6">
      <c r="B213" s="306">
        <v>4</v>
      </c>
      <c r="C213" s="289" t="s">
        <v>1333</v>
      </c>
      <c r="D213" s="330">
        <v>50.401000000000003</v>
      </c>
      <c r="E213" s="554">
        <v>7563709000</v>
      </c>
      <c r="F213" s="307">
        <v>7563709000</v>
      </c>
    </row>
    <row r="214" spans="2:6">
      <c r="B214" s="306"/>
      <c r="C214" s="289" t="s">
        <v>1334</v>
      </c>
      <c r="D214" s="330">
        <v>50.402000000000001</v>
      </c>
      <c r="E214" s="554">
        <v>0</v>
      </c>
      <c r="F214" s="307">
        <v>0</v>
      </c>
    </row>
    <row r="215" spans="2:6" ht="30.75" thickBot="1">
      <c r="B215" s="355"/>
      <c r="C215" s="515" t="s">
        <v>1335</v>
      </c>
      <c r="D215" s="517">
        <v>50.402999999999999</v>
      </c>
      <c r="E215" s="555">
        <v>0</v>
      </c>
      <c r="F215" s="325">
        <v>0</v>
      </c>
    </row>
    <row r="217" spans="2:6">
      <c r="B217" t="s">
        <v>1337</v>
      </c>
      <c r="E217" t="s">
        <v>1358</v>
      </c>
    </row>
    <row r="219" spans="2:6">
      <c r="B219" s="543" t="s">
        <v>1003</v>
      </c>
      <c r="C219" s="543" t="s">
        <v>331</v>
      </c>
      <c r="D219" s="543" t="s">
        <v>1311</v>
      </c>
      <c r="E219" s="543" t="s">
        <v>1312</v>
      </c>
      <c r="F219" s="556"/>
    </row>
    <row r="220" spans="2:6">
      <c r="B220" s="288"/>
      <c r="C220" s="289" t="s">
        <v>1338</v>
      </c>
      <c r="D220" s="289"/>
      <c r="E220" s="289"/>
      <c r="F220" s="557"/>
    </row>
    <row r="221" spans="2:6">
      <c r="B221" s="288" t="s">
        <v>163</v>
      </c>
      <c r="C221" s="289" t="s">
        <v>1339</v>
      </c>
      <c r="D221" s="288">
        <v>78.501000000000005</v>
      </c>
      <c r="E221" s="289">
        <v>290745183</v>
      </c>
      <c r="F221" s="557"/>
    </row>
    <row r="222" spans="2:6">
      <c r="B222" s="288" t="s">
        <v>164</v>
      </c>
      <c r="C222" s="289" t="s">
        <v>1340</v>
      </c>
      <c r="D222" s="288">
        <v>78.531000000000006</v>
      </c>
      <c r="E222" s="289">
        <v>354711180</v>
      </c>
      <c r="F222" s="557"/>
    </row>
    <row r="223" spans="2:6">
      <c r="B223" s="288" t="s">
        <v>165</v>
      </c>
      <c r="C223" s="289" t="s">
        <v>1341</v>
      </c>
      <c r="D223" s="288">
        <v>78.551000000000002</v>
      </c>
      <c r="E223" s="289">
        <v>279946611</v>
      </c>
      <c r="F223" s="557"/>
    </row>
    <row r="224" spans="2:6">
      <c r="B224" s="288" t="s">
        <v>1342</v>
      </c>
      <c r="C224" s="289" t="s">
        <v>1343</v>
      </c>
      <c r="D224" s="288">
        <v>78.581000000000003</v>
      </c>
      <c r="E224" s="289">
        <v>0</v>
      </c>
      <c r="F224" s="557"/>
    </row>
    <row r="225" spans="2:8">
      <c r="B225" s="288" t="s">
        <v>1344</v>
      </c>
      <c r="C225" s="305" t="s">
        <v>1345</v>
      </c>
      <c r="D225" s="288">
        <v>78.581999999999994</v>
      </c>
      <c r="E225" s="289">
        <v>0</v>
      </c>
      <c r="F225" s="557"/>
    </row>
    <row r="226" spans="2:8">
      <c r="B226" s="292" t="s">
        <v>1346</v>
      </c>
      <c r="C226" s="510" t="s">
        <v>1347</v>
      </c>
      <c r="D226" s="288">
        <v>78.584000000000003</v>
      </c>
      <c r="E226" s="289">
        <v>1923254</v>
      </c>
      <c r="F226" s="557"/>
    </row>
    <row r="227" spans="2:8">
      <c r="B227" s="292" t="s">
        <v>1348</v>
      </c>
      <c r="C227" s="510" t="s">
        <v>1349</v>
      </c>
      <c r="D227" s="288">
        <v>78.588999999999999</v>
      </c>
      <c r="E227" s="289"/>
      <c r="F227" s="557"/>
    </row>
    <row r="228" spans="2:8">
      <c r="B228" s="292" t="s">
        <v>1350</v>
      </c>
      <c r="C228" s="510" t="s">
        <v>1351</v>
      </c>
      <c r="D228" s="288">
        <v>78.591999999999999</v>
      </c>
      <c r="E228" s="289"/>
      <c r="F228" s="557"/>
    </row>
    <row r="229" spans="2:8">
      <c r="B229" s="292" t="s">
        <v>1030</v>
      </c>
      <c r="C229" s="510" t="s">
        <v>1352</v>
      </c>
      <c r="D229" s="292">
        <v>78.599999999999994</v>
      </c>
      <c r="E229" s="289">
        <f>SUM(E221:E228)</f>
        <v>927326228</v>
      </c>
      <c r="F229" s="557">
        <f>E229-E226</f>
        <v>925402974</v>
      </c>
    </row>
    <row r="230" spans="2:8">
      <c r="B230" s="292" t="s">
        <v>1031</v>
      </c>
      <c r="C230" s="510" t="s">
        <v>1353</v>
      </c>
      <c r="D230" s="292">
        <v>78.7</v>
      </c>
      <c r="E230" s="289">
        <v>795000000</v>
      </c>
      <c r="F230" s="557"/>
    </row>
    <row r="231" spans="2:8">
      <c r="B231" s="292" t="s">
        <v>1032</v>
      </c>
      <c r="C231" s="510" t="s">
        <v>1354</v>
      </c>
      <c r="D231" s="288" t="s">
        <v>1355</v>
      </c>
      <c r="E231" s="289">
        <v>1120</v>
      </c>
      <c r="F231" s="557"/>
    </row>
    <row r="232" spans="2:8">
      <c r="B232" s="292" t="s">
        <v>1088</v>
      </c>
      <c r="C232" s="510" t="s">
        <v>1356</v>
      </c>
      <c r="D232" s="288" t="s">
        <v>1357</v>
      </c>
      <c r="E232" s="289">
        <v>135057</v>
      </c>
      <c r="F232" s="557"/>
    </row>
    <row r="233" spans="2:8">
      <c r="B233" s="289"/>
      <c r="C233" s="510" t="s">
        <v>287</v>
      </c>
      <c r="D233" s="289"/>
      <c r="E233" s="289">
        <f>SUM(E229:E232)</f>
        <v>1722462405</v>
      </c>
      <c r="F233" s="557"/>
    </row>
    <row r="235" spans="2:8">
      <c r="B235" s="563" t="s">
        <v>1378</v>
      </c>
      <c r="E235" t="s">
        <v>1379</v>
      </c>
    </row>
    <row r="237" spans="2:8" ht="45">
      <c r="B237" s="494" t="s">
        <v>1003</v>
      </c>
      <c r="C237" s="494" t="s">
        <v>331</v>
      </c>
      <c r="D237" s="494" t="s">
        <v>1311</v>
      </c>
      <c r="E237" s="494" t="s">
        <v>1380</v>
      </c>
      <c r="F237" s="494" t="s">
        <v>1381</v>
      </c>
      <c r="G237" s="494" t="s">
        <v>1382</v>
      </c>
      <c r="H237" s="495" t="s">
        <v>1383</v>
      </c>
    </row>
    <row r="238" spans="2:8">
      <c r="B238" s="288">
        <v>1</v>
      </c>
      <c r="C238" s="289" t="s">
        <v>1384</v>
      </c>
      <c r="D238" s="288">
        <v>52.500999999999998</v>
      </c>
      <c r="E238" s="289">
        <v>3023000000</v>
      </c>
      <c r="F238" s="289">
        <v>0</v>
      </c>
      <c r="G238" s="289">
        <v>409166333</v>
      </c>
      <c r="H238" s="289">
        <f>E238+F238-G238</f>
        <v>2613833667</v>
      </c>
    </row>
    <row r="239" spans="2:8">
      <c r="B239" s="288">
        <v>2</v>
      </c>
      <c r="C239" s="289" t="s">
        <v>1385</v>
      </c>
      <c r="D239" s="288">
        <v>53.3</v>
      </c>
      <c r="E239" s="289">
        <v>2740600000</v>
      </c>
      <c r="F239" s="289">
        <v>2746799418</v>
      </c>
      <c r="G239" s="289">
        <v>247702581</v>
      </c>
      <c r="H239" s="289">
        <f>E239+F239-G239</f>
        <v>5239696837</v>
      </c>
    </row>
    <row r="240" spans="2:8">
      <c r="B240" s="288">
        <v>3</v>
      </c>
      <c r="C240" s="289" t="s">
        <v>1386</v>
      </c>
      <c r="D240" s="288">
        <v>53.5</v>
      </c>
      <c r="E240" s="289">
        <v>3107100000</v>
      </c>
      <c r="F240" s="289">
        <v>0</v>
      </c>
      <c r="G240" s="289">
        <v>416914286</v>
      </c>
      <c r="H240" s="289">
        <f>E240+F240-G240</f>
        <v>2690185714</v>
      </c>
    </row>
    <row r="241" spans="2:8">
      <c r="B241" s="288">
        <v>4</v>
      </c>
      <c r="C241" s="289" t="s">
        <v>287</v>
      </c>
      <c r="D241" s="289"/>
      <c r="E241" s="289">
        <f>SUM(E238:E240)</f>
        <v>8870700000</v>
      </c>
      <c r="F241" s="289">
        <f>SUM(F238:F240)</f>
        <v>2746799418</v>
      </c>
      <c r="G241" s="289">
        <f>SUM(G238:G240)</f>
        <v>1073783200</v>
      </c>
      <c r="H241" s="289">
        <f>E241+F241-G241</f>
        <v>10543716218</v>
      </c>
    </row>
    <row r="242" spans="2:8">
      <c r="B242" s="289"/>
      <c r="C242" s="289"/>
      <c r="D242" s="289"/>
      <c r="E242" s="289"/>
      <c r="F242" s="289"/>
      <c r="G242" s="289"/>
      <c r="H242" s="289"/>
    </row>
    <row r="243" spans="2:8">
      <c r="B243" s="289"/>
      <c r="C243" s="289"/>
      <c r="D243" s="289"/>
      <c r="E243" s="289"/>
      <c r="F243" s="289"/>
      <c r="G243" s="289"/>
      <c r="H243" s="289"/>
    </row>
    <row r="245" spans="2:8">
      <c r="B245" t="s">
        <v>1405</v>
      </c>
      <c r="E245" t="s">
        <v>1406</v>
      </c>
    </row>
    <row r="247" spans="2:8">
      <c r="B247" s="543" t="s">
        <v>1003</v>
      </c>
      <c r="C247" s="543" t="s">
        <v>331</v>
      </c>
      <c r="D247" s="543" t="s">
        <v>1051</v>
      </c>
      <c r="E247" s="543" t="s">
        <v>1312</v>
      </c>
    </row>
    <row r="248" spans="2:8" ht="30">
      <c r="B248" s="288">
        <v>1</v>
      </c>
      <c r="C248" s="305" t="s">
        <v>1407</v>
      </c>
      <c r="D248" s="330">
        <v>61.8</v>
      </c>
      <c r="E248" s="330">
        <v>4076366892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"/>
  <sheetViews>
    <sheetView zoomScale="69" zoomScaleNormal="69" workbookViewId="0">
      <selection activeCell="D7" sqref="D7"/>
    </sheetView>
  </sheetViews>
  <sheetFormatPr defaultRowHeight="15"/>
  <cols>
    <col min="2" max="2" width="27.28515625" bestFit="1" customWidth="1"/>
    <col min="3" max="3" width="10.140625" bestFit="1" customWidth="1"/>
    <col min="4" max="4" width="10.28515625" bestFit="1" customWidth="1"/>
    <col min="5" max="5" width="12" bestFit="1" customWidth="1"/>
    <col min="8" max="8" width="27.28515625" bestFit="1" customWidth="1"/>
  </cols>
  <sheetData>
    <row r="1" spans="2:5" ht="15.75" thickBot="1"/>
    <row r="2" spans="2:5">
      <c r="B2" s="512"/>
      <c r="C2" s="513" t="s">
        <v>1751</v>
      </c>
      <c r="D2" s="1521" t="s">
        <v>1752</v>
      </c>
      <c r="E2" s="514" t="s">
        <v>2590</v>
      </c>
    </row>
    <row r="3" spans="2:5">
      <c r="B3" s="310" t="s">
        <v>1022</v>
      </c>
      <c r="C3" s="289"/>
      <c r="D3" s="289"/>
      <c r="E3" s="307"/>
    </row>
    <row r="4" spans="2:5">
      <c r="B4" s="310" t="s">
        <v>288</v>
      </c>
      <c r="C4" s="1522">
        <v>56.89</v>
      </c>
      <c r="D4" s="1522">
        <f>C4*1.1</f>
        <v>62.579000000000008</v>
      </c>
      <c r="E4" s="1523">
        <f>D4*1.1</f>
        <v>68.836900000000014</v>
      </c>
    </row>
    <row r="5" spans="2:5">
      <c r="B5" s="310" t="s">
        <v>2603</v>
      </c>
      <c r="C5" s="1522">
        <f>C7-C4</f>
        <v>142.68</v>
      </c>
      <c r="D5" s="1522">
        <f>C5*(1+D18)</f>
        <v>153.88038</v>
      </c>
      <c r="E5" s="1523">
        <f>SUM(D5:D6)*(1+E18)</f>
        <v>194.63635833840002</v>
      </c>
    </row>
    <row r="6" spans="2:5">
      <c r="B6" s="310" t="s">
        <v>2604</v>
      </c>
      <c r="C6" s="1522"/>
      <c r="D6" s="1522">
        <f>'F1(a)'!N23</f>
        <v>26.589122399999997</v>
      </c>
      <c r="E6" s="1523">
        <f>'F1(a)'!N47</f>
        <v>0</v>
      </c>
    </row>
    <row r="7" spans="2:5">
      <c r="B7" s="310" t="s">
        <v>1959</v>
      </c>
      <c r="C7" s="1522">
        <v>199.57</v>
      </c>
      <c r="D7" s="1522">
        <f>SUM(D4:D6)</f>
        <v>243.04850240000002</v>
      </c>
      <c r="E7" s="1523">
        <f>SUM(E4:E6)</f>
        <v>263.4732583384</v>
      </c>
    </row>
    <row r="8" spans="2:5">
      <c r="B8" s="310"/>
      <c r="C8" s="289"/>
      <c r="D8" s="289"/>
      <c r="E8" s="307"/>
    </row>
    <row r="9" spans="2:5">
      <c r="B9" s="310" t="s">
        <v>2605</v>
      </c>
      <c r="C9" s="289"/>
      <c r="D9" s="289"/>
      <c r="E9" s="307"/>
    </row>
    <row r="10" spans="2:5">
      <c r="B10" s="310" t="s">
        <v>2606</v>
      </c>
      <c r="C10" s="1522">
        <v>55.12</v>
      </c>
      <c r="D10" s="1522">
        <f>C10*(1+D18)</f>
        <v>59.446919999999999</v>
      </c>
      <c r="E10" s="1523" t="e">
        <f>D12*(1+E18)</f>
        <v>#REF!</v>
      </c>
    </row>
    <row r="11" spans="2:5">
      <c r="B11" s="310" t="s">
        <v>2607</v>
      </c>
      <c r="C11" s="1522">
        <v>4.51</v>
      </c>
      <c r="D11" s="1522" t="e">
        <f>D23*D21/2</f>
        <v>#REF!</v>
      </c>
      <c r="E11" s="1523" t="e">
        <f>E23*E21/2</f>
        <v>#REF!</v>
      </c>
    </row>
    <row r="12" spans="2:5">
      <c r="B12" s="310" t="s">
        <v>1959</v>
      </c>
      <c r="C12" s="1522">
        <f>SUM(C10:C11)</f>
        <v>59.629999999999995</v>
      </c>
      <c r="D12" s="1522" t="e">
        <f>SUM(D10:D11)</f>
        <v>#REF!</v>
      </c>
      <c r="E12" s="1523" t="e">
        <f>SUM(E10:E11)</f>
        <v>#REF!</v>
      </c>
    </row>
    <row r="13" spans="2:5">
      <c r="B13" s="310"/>
      <c r="C13" s="289"/>
      <c r="D13" s="289"/>
      <c r="E13" s="307"/>
    </row>
    <row r="14" spans="2:5">
      <c r="B14" s="310" t="s">
        <v>2608</v>
      </c>
      <c r="C14" s="289"/>
      <c r="D14" s="289"/>
      <c r="E14" s="307"/>
    </row>
    <row r="15" spans="2:5">
      <c r="B15" s="310" t="s">
        <v>2606</v>
      </c>
      <c r="C15" s="289">
        <v>11.93</v>
      </c>
      <c r="D15" s="1522">
        <f>C15*(1+D18)</f>
        <v>12.866505</v>
      </c>
      <c r="E15" s="1523" t="e">
        <f>D17*(1+E18)</f>
        <v>#REF!</v>
      </c>
    </row>
    <row r="16" spans="2:5">
      <c r="B16" s="310" t="s">
        <v>2607</v>
      </c>
      <c r="C16" s="289">
        <v>0.25</v>
      </c>
      <c r="D16" s="1522" t="e">
        <f>D21*D23/2</f>
        <v>#REF!</v>
      </c>
      <c r="E16" s="1523" t="e">
        <f>E21*E23/2</f>
        <v>#REF!</v>
      </c>
    </row>
    <row r="17" spans="1:5">
      <c r="B17" s="310" t="s">
        <v>1959</v>
      </c>
      <c r="C17" s="1522">
        <f>SUM(C15:C16)</f>
        <v>12.18</v>
      </c>
      <c r="D17" s="1522" t="e">
        <f>SUM(D15:D16)</f>
        <v>#REF!</v>
      </c>
      <c r="E17" s="1523" t="e">
        <f>SUM(E15:E16)</f>
        <v>#REF!</v>
      </c>
    </row>
    <row r="18" spans="1:5">
      <c r="B18" s="310" t="s">
        <v>2609</v>
      </c>
      <c r="C18" s="289"/>
      <c r="D18" s="1524">
        <v>7.85E-2</v>
      </c>
      <c r="E18" s="1525">
        <v>7.85E-2</v>
      </c>
    </row>
    <row r="19" spans="1:5">
      <c r="B19" s="310"/>
      <c r="C19" s="289"/>
      <c r="D19" s="289"/>
      <c r="E19" s="307"/>
    </row>
    <row r="20" spans="1:5">
      <c r="B20" s="310" t="s">
        <v>158</v>
      </c>
      <c r="C20" s="289"/>
      <c r="D20" s="1522" t="e">
        <f>#REF!</f>
        <v>#REF!</v>
      </c>
      <c r="E20" s="1523" t="e">
        <f>#REF!</f>
        <v>#REF!</v>
      </c>
    </row>
    <row r="21" spans="1:5">
      <c r="B21" s="310" t="s">
        <v>2610</v>
      </c>
      <c r="C21" s="289"/>
      <c r="D21" s="1522" t="e">
        <f>#REF!</f>
        <v>#REF!</v>
      </c>
      <c r="E21" s="1523" t="e">
        <f>#REF!</f>
        <v>#REF!</v>
      </c>
    </row>
    <row r="22" spans="1:5">
      <c r="B22" s="310" t="s">
        <v>2611</v>
      </c>
      <c r="C22" s="289"/>
      <c r="D22" s="1526" t="e">
        <f>SUM(D20:D21)</f>
        <v>#REF!</v>
      </c>
      <c r="E22" s="1527" t="e">
        <f>SUM(E20:E21)</f>
        <v>#REF!</v>
      </c>
    </row>
    <row r="23" spans="1:5">
      <c r="A23" t="s">
        <v>2612</v>
      </c>
      <c r="B23" s="310" t="s">
        <v>2613</v>
      </c>
      <c r="C23" s="289"/>
      <c r="D23" s="1524" t="e">
        <f>D10/D20</f>
        <v>#REF!</v>
      </c>
      <c r="E23" s="1525" t="e">
        <f>E10/E20</f>
        <v>#REF!</v>
      </c>
    </row>
    <row r="24" spans="1:5" ht="15.75" thickBot="1">
      <c r="A24" t="s">
        <v>2608</v>
      </c>
      <c r="B24" s="323" t="s">
        <v>2613</v>
      </c>
      <c r="C24" s="324"/>
      <c r="D24" s="1528" t="e">
        <f>D15/D20</f>
        <v>#REF!</v>
      </c>
      <c r="E24" s="1529" t="e">
        <f>E15/E20</f>
        <v>#REF!</v>
      </c>
    </row>
  </sheetData>
  <pageMargins left="0.7" right="0.7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B2:D9"/>
  <sheetViews>
    <sheetView workbookViewId="0">
      <selection activeCell="D3" sqref="D3"/>
    </sheetView>
  </sheetViews>
  <sheetFormatPr defaultRowHeight="15"/>
  <cols>
    <col min="2" max="2" width="32.7109375" bestFit="1" customWidth="1"/>
    <col min="3" max="3" width="16.140625" bestFit="1" customWidth="1"/>
    <col min="4" max="4" width="10.140625" bestFit="1" customWidth="1"/>
  </cols>
  <sheetData>
    <row r="2" spans="2:4">
      <c r="B2" s="1839" t="s">
        <v>331</v>
      </c>
      <c r="C2" s="1839" t="s">
        <v>2561</v>
      </c>
      <c r="D2" s="1839" t="s">
        <v>2590</v>
      </c>
    </row>
    <row r="3" spans="2:4">
      <c r="B3" s="1621" t="s">
        <v>2682</v>
      </c>
      <c r="C3" s="1621" t="s">
        <v>2555</v>
      </c>
      <c r="D3" s="1526" t="e">
        <f>#REF!</f>
        <v>#REF!</v>
      </c>
    </row>
    <row r="4" spans="2:4">
      <c r="B4" s="1621" t="s">
        <v>2679</v>
      </c>
      <c r="C4" s="1621" t="s">
        <v>184</v>
      </c>
      <c r="D4" s="289">
        <f>'[5]installed cap PSEB 31.3.11'!$E$32</f>
        <v>13385.35</v>
      </c>
    </row>
    <row r="5" spans="2:4">
      <c r="B5" s="1621" t="s">
        <v>2680</v>
      </c>
      <c r="C5" s="1621" t="s">
        <v>2681</v>
      </c>
      <c r="D5" s="1522" t="e">
        <f>D3/(12*D4)*10^7</f>
        <v>#REF!</v>
      </c>
    </row>
    <row r="8" spans="2:4">
      <c r="B8" t="s">
        <v>2740</v>
      </c>
      <c r="D8" s="345" t="e">
        <f>#REF!</f>
        <v>#REF!</v>
      </c>
    </row>
    <row r="9" spans="2:4">
      <c r="D9" s="1838" t="e">
        <f>D8/12</f>
        <v>#REF!</v>
      </c>
    </row>
  </sheetData>
  <pageMargins left="0.7" right="0.7" top="0.75" bottom="0.75" header="0.3" footer="0.3"/>
  <pageSetup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C4:E10"/>
  <sheetViews>
    <sheetView workbookViewId="0">
      <selection activeCell="D3" sqref="D3"/>
    </sheetView>
  </sheetViews>
  <sheetFormatPr defaultRowHeight="15"/>
  <sheetData>
    <row r="4" spans="3:5">
      <c r="C4" t="s">
        <v>2739</v>
      </c>
      <c r="D4" t="s">
        <v>2741</v>
      </c>
      <c r="E4" t="s">
        <v>2740</v>
      </c>
    </row>
    <row r="6" spans="3:5">
      <c r="C6" t="s">
        <v>2742</v>
      </c>
      <c r="D6" s="345" t="e">
        <f>#REF!</f>
        <v>#REF!</v>
      </c>
      <c r="E6" s="345" t="e">
        <f>#REF!</f>
        <v>#REF!</v>
      </c>
    </row>
    <row r="8" spans="3:5">
      <c r="C8" t="s">
        <v>2743</v>
      </c>
      <c r="D8" s="345" t="e">
        <f>#REF!</f>
        <v>#REF!</v>
      </c>
      <c r="E8" s="345" t="e">
        <f>#REF!</f>
        <v>#REF!</v>
      </c>
    </row>
    <row r="10" spans="3:5">
      <c r="D10" s="345" t="e">
        <f>D6-D8</f>
        <v>#REF!</v>
      </c>
      <c r="E10" s="345" t="e">
        <f>E6-E8</f>
        <v>#REF!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="69" zoomScaleSheetLayoutView="69" workbookViewId="0">
      <selection activeCell="D34" sqref="D34"/>
    </sheetView>
  </sheetViews>
  <sheetFormatPr defaultRowHeight="15"/>
  <cols>
    <col min="1" max="1" width="3.28515625" style="1147" customWidth="1"/>
    <col min="2" max="2" width="7" style="1147" customWidth="1"/>
    <col min="3" max="3" width="17.7109375" style="1147" customWidth="1"/>
    <col min="4" max="4" width="18.5703125" style="1147" customWidth="1"/>
    <col min="5" max="5" width="16.7109375" style="1147" bestFit="1" customWidth="1"/>
    <col min="6" max="6" width="12.28515625" style="1147" bestFit="1" customWidth="1"/>
    <col min="7" max="7" width="12.7109375" style="1415" bestFit="1" customWidth="1"/>
    <col min="8" max="8" width="16.85546875" style="1147" bestFit="1" customWidth="1"/>
    <col min="9" max="9" width="16.7109375" style="1147" bestFit="1" customWidth="1"/>
    <col min="10" max="10" width="12.28515625" style="1147" bestFit="1" customWidth="1"/>
    <col min="11" max="11" width="18.140625" style="1147" customWidth="1"/>
    <col min="12" max="12" width="12.7109375" style="1147" bestFit="1" customWidth="1"/>
    <col min="13" max="13" width="16.85546875" style="1147" bestFit="1" customWidth="1"/>
    <col min="14" max="14" width="16.7109375" style="1147" bestFit="1" customWidth="1"/>
    <col min="15" max="15" width="13.85546875" style="1147" bestFit="1" customWidth="1"/>
    <col min="16" max="16" width="16.7109375" style="1147" bestFit="1" customWidth="1"/>
    <col min="17" max="16384" width="9.140625" style="1147"/>
  </cols>
  <sheetData>
    <row r="1" spans="1:19">
      <c r="C1" s="1415" t="s">
        <v>2507</v>
      </c>
    </row>
    <row r="2" spans="1:19" ht="33" customHeight="1">
      <c r="A2" s="1146"/>
      <c r="B2" s="1203" t="s">
        <v>1003</v>
      </c>
      <c r="C2" s="1203" t="s">
        <v>331</v>
      </c>
      <c r="D2" s="1204" t="str">
        <f>Data_TL_consolidated!D2</f>
        <v>Opening WIP as on April 16, 2010</v>
      </c>
      <c r="E2" s="1204" t="str">
        <f>Data_TL_consolidated!E2</f>
        <v>Expenditure during FY 2010-11</v>
      </c>
      <c r="F2" s="1204" t="str">
        <f>Data_TL_consolidated!F2</f>
        <v>Transferred to Assets</v>
      </c>
      <c r="G2" s="1204"/>
      <c r="H2" s="1204" t="str">
        <f>Data_TL_consolidated!I2</f>
        <v>Closing WIP as on March 31, 2011</v>
      </c>
      <c r="I2" s="1204" t="str">
        <f>Data_TL_consolidated!J2</f>
        <v>Expenditure during FY 2011-12</v>
      </c>
      <c r="J2" s="1204" t="str">
        <f>Data_TL_consolidated!K2</f>
        <v>IDC</v>
      </c>
      <c r="K2" s="1204" t="str">
        <f>Data_TL_consolidated!L2</f>
        <v>Total Expenditure during FY 2011-12</v>
      </c>
      <c r="L2" s="1204" t="str">
        <f>Data_TL_consolidated!M2</f>
        <v>Transferred to Assets</v>
      </c>
      <c r="M2" s="1204" t="str">
        <f>Data_TL_consolidated!N2</f>
        <v>Closing WIP as on March 31, 2012</v>
      </c>
      <c r="N2" s="1204" t="str">
        <f>Data_TL_consolidated!O2</f>
        <v>Expenditure during FY 2012-13</v>
      </c>
      <c r="O2" s="1204" t="str">
        <f>Data_TL_consolidated!P2</f>
        <v>Transferred to Assets</v>
      </c>
      <c r="P2" s="1204" t="str">
        <f>Data_TL_consolidated!Q2</f>
        <v>Closing WIP as on March 31, 2013</v>
      </c>
    </row>
    <row r="3" spans="1:19" ht="18" customHeight="1">
      <c r="A3" s="1146"/>
      <c r="B3" s="1201">
        <v>1</v>
      </c>
      <c r="C3" s="1200" t="s">
        <v>2067</v>
      </c>
      <c r="D3" s="627"/>
      <c r="E3" s="627"/>
      <c r="F3" s="627"/>
      <c r="G3" s="1200"/>
      <c r="H3" s="627"/>
      <c r="I3" s="627"/>
      <c r="J3" s="627"/>
      <c r="K3" s="627"/>
      <c r="L3" s="627"/>
      <c r="M3" s="627"/>
      <c r="N3" s="1200"/>
      <c r="O3" s="1200"/>
      <c r="P3" s="1200"/>
    </row>
    <row r="4" spans="1:19">
      <c r="A4" s="1146"/>
      <c r="B4" s="1202" t="s">
        <v>163</v>
      </c>
      <c r="C4" s="1200" t="s">
        <v>1364</v>
      </c>
      <c r="D4" s="1251">
        <f>Data_TL_consolidated!D71</f>
        <v>104.67</v>
      </c>
      <c r="E4" s="1251">
        <f>Data_TL_consolidated!E71</f>
        <v>40.730000000000004</v>
      </c>
      <c r="F4" s="1251">
        <f>Data_TL_consolidated!F71</f>
        <v>0</v>
      </c>
      <c r="G4" s="1251">
        <v>145.4</v>
      </c>
      <c r="H4" s="1251">
        <f>Data_TL_consolidated!I71</f>
        <v>145.4</v>
      </c>
      <c r="I4" s="1251">
        <f>Data_TL_consolidated!J71</f>
        <v>319.5</v>
      </c>
      <c r="J4" s="1251">
        <f>Data_TL_consolidated!K71</f>
        <v>55.670339376628917</v>
      </c>
      <c r="K4" s="1251">
        <f>Data_TL_consolidated!L71</f>
        <v>375.17033937662887</v>
      </c>
      <c r="L4" s="1251">
        <f>Data_TL_consolidated!M71</f>
        <v>317.4264623432743</v>
      </c>
      <c r="M4" s="1251">
        <f>Data_TL_consolidated!N71</f>
        <v>203.14387703335461</v>
      </c>
      <c r="N4" s="1251">
        <f>Data_TL_consolidated!O71</f>
        <v>178</v>
      </c>
      <c r="O4" s="1251">
        <f>Data_TL_consolidated!P71</f>
        <v>381.14387703335461</v>
      </c>
      <c r="P4" s="1251">
        <f>Data_TL_consolidated!Q71</f>
        <v>0</v>
      </c>
      <c r="R4" s="1338"/>
    </row>
    <row r="5" spans="1:19">
      <c r="A5" s="1146"/>
      <c r="B5" s="1202" t="s">
        <v>164</v>
      </c>
      <c r="C5" s="1200" t="s">
        <v>1363</v>
      </c>
      <c r="D5" s="1251">
        <f>Data_TL_consolidated!D64</f>
        <v>5241.8700000000008</v>
      </c>
      <c r="E5" s="1251">
        <f>Data_TL_consolidated!E64</f>
        <v>3916.4915874116805</v>
      </c>
      <c r="F5" s="1251">
        <f>Data_TL_consolidated!F64</f>
        <v>3353.84</v>
      </c>
      <c r="G5" s="1251">
        <v>5804.521587411682</v>
      </c>
      <c r="H5" s="1251">
        <f>Data_TL_consolidated!I64</f>
        <v>5804.521587411682</v>
      </c>
      <c r="I5" s="1251">
        <f>Data_TL_consolidated!J64</f>
        <v>14602.269999999999</v>
      </c>
      <c r="J5" s="1251">
        <f>Data_TL_consolidated!K64</f>
        <v>2544.3296606233712</v>
      </c>
      <c r="K5" s="1251">
        <f>Data_TL_consolidated!L64</f>
        <v>17146.599660623375</v>
      </c>
      <c r="L5" s="1251">
        <f>Data_TL_consolidated!M64</f>
        <v>8412.8559708667271</v>
      </c>
      <c r="M5" s="1251">
        <f>Data_TL_consolidated!N64</f>
        <v>14538.265277168322</v>
      </c>
      <c r="N5" s="1251">
        <f>Data_TL_consolidated!O64</f>
        <v>16201.879999999997</v>
      </c>
      <c r="O5" s="1251">
        <f>Data_TL_consolidated!P64</f>
        <v>29931.110467671875</v>
      </c>
      <c r="P5" s="1251">
        <f>Data_TL_consolidated!Q64</f>
        <v>809.03480949646064</v>
      </c>
      <c r="R5" s="1338"/>
    </row>
    <row r="6" spans="1:19">
      <c r="A6" s="1146"/>
      <c r="B6" s="1336" t="s">
        <v>1030</v>
      </c>
      <c r="C6" s="1204" t="s">
        <v>287</v>
      </c>
      <c r="D6" s="1337">
        <f>SUM(D4:D5)</f>
        <v>5346.5400000000009</v>
      </c>
      <c r="E6" s="1337">
        <f>SUM(E4:E5)</f>
        <v>3957.2215874116805</v>
      </c>
      <c r="F6" s="1337">
        <f>SUM(F4:F5)</f>
        <v>3353.84</v>
      </c>
      <c r="G6" s="1337">
        <v>5949.9215874116817</v>
      </c>
      <c r="H6" s="1337">
        <f t="shared" ref="H6:P6" si="0">SUM(H4:H5)</f>
        <v>5949.9215874116817</v>
      </c>
      <c r="I6" s="1337">
        <f t="shared" si="0"/>
        <v>14921.769999999999</v>
      </c>
      <c r="J6" s="1337">
        <f t="shared" si="0"/>
        <v>2600</v>
      </c>
      <c r="K6" s="1337">
        <f t="shared" si="0"/>
        <v>17521.770000000004</v>
      </c>
      <c r="L6" s="1337">
        <f t="shared" si="0"/>
        <v>8730.2824332100008</v>
      </c>
      <c r="M6" s="1337">
        <f t="shared" si="0"/>
        <v>14741.409154201678</v>
      </c>
      <c r="N6" s="1337">
        <f t="shared" si="0"/>
        <v>16379.879999999997</v>
      </c>
      <c r="O6" s="1337">
        <f t="shared" si="0"/>
        <v>30312.25434470523</v>
      </c>
      <c r="P6" s="1337">
        <f t="shared" si="0"/>
        <v>809.03480949646064</v>
      </c>
      <c r="R6" s="1338"/>
    </row>
    <row r="7" spans="1:19">
      <c r="A7" s="1146"/>
      <c r="B7" s="1201">
        <v>2</v>
      </c>
      <c r="C7" s="1200" t="s">
        <v>2439</v>
      </c>
      <c r="D7" s="1251"/>
      <c r="E7" s="1251"/>
      <c r="F7" s="1251"/>
      <c r="G7" s="1251"/>
      <c r="H7" s="1251"/>
      <c r="I7" s="1251"/>
      <c r="J7" s="1251"/>
      <c r="K7" s="1251"/>
      <c r="L7" s="1251"/>
      <c r="M7" s="1251"/>
      <c r="N7" s="1251"/>
      <c r="O7" s="1251"/>
      <c r="P7" s="1251"/>
    </row>
    <row r="8" spans="1:19">
      <c r="A8" s="1146"/>
      <c r="B8" s="1202" t="s">
        <v>163</v>
      </c>
      <c r="C8" s="1200" t="s">
        <v>1364</v>
      </c>
      <c r="D8" s="1251">
        <f>'Revised data_Sub-stations'!C80</f>
        <v>0</v>
      </c>
      <c r="E8" s="1251">
        <f>'Revised data_Sub-stations'!D80</f>
        <v>649.94000000000005</v>
      </c>
      <c r="F8" s="1251">
        <f>'Revised data_Sub-stations'!E80</f>
        <v>0</v>
      </c>
      <c r="G8" s="1251">
        <v>649.94000000000005</v>
      </c>
      <c r="H8" s="1251">
        <f>'Revised data_Sub-stations'!F80</f>
        <v>649.94000000000005</v>
      </c>
      <c r="I8" s="1251">
        <f>'Revised data_Sub-stations'!I80</f>
        <v>2755.5600000000004</v>
      </c>
      <c r="J8" s="1251">
        <f>'Revised data_Sub-stations'!J80</f>
        <v>617.35492419167599</v>
      </c>
      <c r="K8" s="1251">
        <f>'Revised data_Sub-stations'!K80</f>
        <v>3372.9149241916757</v>
      </c>
      <c r="L8" s="1251">
        <f>'Revised data_Sub-stations'!L80</f>
        <v>3820.2083538142988</v>
      </c>
      <c r="M8" s="1251">
        <f>'Revised data_Sub-stations'!M80</f>
        <v>202.646570377377</v>
      </c>
      <c r="N8" s="1251">
        <f>'Revised data_Sub-stations'!N80</f>
        <v>518.5</v>
      </c>
      <c r="O8" s="1251">
        <f>'Revised data_Sub-stations'!O80</f>
        <v>721.14657037737697</v>
      </c>
      <c r="P8" s="1251">
        <f>'Revised data_Sub-stations'!P80</f>
        <v>0</v>
      </c>
      <c r="S8" s="1385"/>
    </row>
    <row r="9" spans="1:19">
      <c r="A9" s="1146"/>
      <c r="B9" s="1202" t="s">
        <v>164</v>
      </c>
      <c r="C9" s="1200" t="s">
        <v>1363</v>
      </c>
      <c r="D9" s="1251">
        <f>'Revised data_Sub-stations'!C65</f>
        <v>2401.73</v>
      </c>
      <c r="E9" s="1251">
        <f>'Revised data_Sub-stations'!D65</f>
        <v>21243.173900000002</v>
      </c>
      <c r="F9" s="1251">
        <f>'Revised data_Sub-stations'!E65</f>
        <v>13342.369999999999</v>
      </c>
      <c r="G9" s="1251">
        <v>10297.39</v>
      </c>
      <c r="H9" s="1251">
        <f>'Revised data_Sub-stations'!F65</f>
        <v>10297.39</v>
      </c>
      <c r="I9" s="1251">
        <f>'Revised data_Sub-stations'!I65</f>
        <v>19561.909999999996</v>
      </c>
      <c r="J9" s="1251">
        <f>'Revised data_Sub-stations'!J65</f>
        <v>4382.6450758083238</v>
      </c>
      <c r="K9" s="1251">
        <f>'Revised data_Sub-stations'!K65</f>
        <v>23944.555075808315</v>
      </c>
      <c r="L9" s="1251">
        <f>'Revised data_Sub-stations'!L65</f>
        <v>24204.819272569875</v>
      </c>
      <c r="M9" s="1251">
        <f>'Revised data_Sub-stations'!M65</f>
        <v>10037.125803238445</v>
      </c>
      <c r="N9" s="1251">
        <f>'Revised data_Sub-stations'!N65</f>
        <v>16668</v>
      </c>
      <c r="O9" s="1251">
        <f>'Revised data_Sub-stations'!O65</f>
        <v>26705.125803238443</v>
      </c>
      <c r="P9" s="1251">
        <f>'Revised data_Sub-stations'!P65</f>
        <v>0</v>
      </c>
      <c r="S9" s="1385"/>
    </row>
    <row r="10" spans="1:19" s="1384" customFormat="1">
      <c r="A10" s="1383"/>
      <c r="B10" s="1336" t="s">
        <v>1031</v>
      </c>
      <c r="C10" s="1204" t="s">
        <v>287</v>
      </c>
      <c r="D10" s="1337">
        <f>SUM(D8:D9)</f>
        <v>2401.73</v>
      </c>
      <c r="E10" s="1337">
        <f>SUM(E8:E9)</f>
        <v>21893.1139</v>
      </c>
      <c r="F10" s="1337">
        <f>SUM(F8:F9)</f>
        <v>13342.369999999999</v>
      </c>
      <c r="G10" s="1337">
        <v>10947.33</v>
      </c>
      <c r="H10" s="1337">
        <f t="shared" ref="H10:P10" si="1">SUM(H8:H9)</f>
        <v>10947.33</v>
      </c>
      <c r="I10" s="1337">
        <f t="shared" si="1"/>
        <v>22317.469999999998</v>
      </c>
      <c r="J10" s="1337">
        <f t="shared" si="1"/>
        <v>5000</v>
      </c>
      <c r="K10" s="1337">
        <f t="shared" si="1"/>
        <v>27317.46999999999</v>
      </c>
      <c r="L10" s="1337">
        <f t="shared" si="1"/>
        <v>28025.027626384173</v>
      </c>
      <c r="M10" s="1337">
        <f t="shared" si="1"/>
        <v>10239.772373615822</v>
      </c>
      <c r="N10" s="1337">
        <f t="shared" si="1"/>
        <v>17186.5</v>
      </c>
      <c r="O10" s="1337">
        <f t="shared" si="1"/>
        <v>27426.272373615819</v>
      </c>
      <c r="P10" s="1337">
        <f t="shared" si="1"/>
        <v>0</v>
      </c>
      <c r="S10" s="1385"/>
    </row>
    <row r="11" spans="1:19">
      <c r="A11" s="1146"/>
      <c r="B11" s="1336" t="s">
        <v>1032</v>
      </c>
      <c r="C11" s="1204" t="s">
        <v>2440</v>
      </c>
      <c r="D11" s="1337">
        <v>0</v>
      </c>
      <c r="E11" s="1337">
        <v>16700</v>
      </c>
      <c r="F11" s="1337">
        <v>0</v>
      </c>
      <c r="G11" s="1337">
        <v>16700</v>
      </c>
      <c r="H11" s="1337">
        <f>D11+E11-F11</f>
        <v>16700</v>
      </c>
      <c r="I11" s="1337">
        <f>440*10^2</f>
        <v>44000</v>
      </c>
      <c r="J11" s="1337">
        <f>I11*10%</f>
        <v>4400</v>
      </c>
      <c r="K11" s="1337">
        <f>I11+J11</f>
        <v>48400</v>
      </c>
      <c r="L11" s="1337">
        <v>11000</v>
      </c>
      <c r="M11" s="1337">
        <f>H11+K11-L11</f>
        <v>54100</v>
      </c>
      <c r="N11" s="1337">
        <f>500*100</f>
        <v>50000</v>
      </c>
      <c r="O11" s="1337">
        <f>M11+N11</f>
        <v>104100</v>
      </c>
      <c r="P11" s="1337">
        <f>M11+N11-O11</f>
        <v>0</v>
      </c>
    </row>
    <row r="12" spans="1:19">
      <c r="A12" s="1146"/>
      <c r="B12" s="1336" t="s">
        <v>2441</v>
      </c>
      <c r="C12" s="1204" t="s">
        <v>2156</v>
      </c>
      <c r="D12" s="1337">
        <v>0</v>
      </c>
      <c r="E12" s="1337">
        <v>0</v>
      </c>
      <c r="F12" s="1337">
        <v>0</v>
      </c>
      <c r="G12" s="1337">
        <v>282</v>
      </c>
      <c r="H12" s="1337">
        <f>D12+E12-F12</f>
        <v>0</v>
      </c>
      <c r="I12" s="1337">
        <v>10000</v>
      </c>
      <c r="J12" s="1337">
        <f>I12*10%</f>
        <v>1000</v>
      </c>
      <c r="K12" s="1337">
        <f>I12+J12</f>
        <v>11000</v>
      </c>
      <c r="L12" s="1337">
        <v>0</v>
      </c>
      <c r="M12" s="1337">
        <f>H12+K12-L12</f>
        <v>11000</v>
      </c>
      <c r="N12" s="1337">
        <f>265*100</f>
        <v>26500</v>
      </c>
      <c r="O12" s="1337">
        <v>20000</v>
      </c>
      <c r="P12" s="1337">
        <f>M12+N12-O12</f>
        <v>17500</v>
      </c>
      <c r="S12" s="1147">
        <v>85</v>
      </c>
    </row>
    <row r="13" spans="1:19">
      <c r="A13" s="1146"/>
      <c r="B13" s="1386" t="s">
        <v>2442</v>
      </c>
      <c r="C13" s="1387" t="s">
        <v>354</v>
      </c>
      <c r="D13" s="1388">
        <f>D6+D10+D11+D12</f>
        <v>7748.27</v>
      </c>
      <c r="E13" s="1388">
        <f>E6+E10+E11+E12</f>
        <v>42550.335487411678</v>
      </c>
      <c r="F13" s="1388">
        <f>F6+F10+F11+F12</f>
        <v>16696.21</v>
      </c>
      <c r="G13" s="1388">
        <v>33879.25158741168</v>
      </c>
      <c r="H13" s="1388">
        <f t="shared" ref="H13:P13" si="2">H6+H10+H11+H12</f>
        <v>33597.25158741168</v>
      </c>
      <c r="I13" s="1388">
        <f t="shared" si="2"/>
        <v>91239.239999999991</v>
      </c>
      <c r="J13" s="1388">
        <f t="shared" si="2"/>
        <v>13000</v>
      </c>
      <c r="K13" s="1388">
        <f t="shared" si="2"/>
        <v>104239.23999999999</v>
      </c>
      <c r="L13" s="1388">
        <f t="shared" si="2"/>
        <v>47755.310059594172</v>
      </c>
      <c r="M13" s="1388">
        <f t="shared" si="2"/>
        <v>90081.181527817505</v>
      </c>
      <c r="N13" s="1388">
        <f t="shared" si="2"/>
        <v>110066.38</v>
      </c>
      <c r="O13" s="1388">
        <f t="shared" si="2"/>
        <v>181838.52671832105</v>
      </c>
      <c r="P13" s="1388">
        <f t="shared" si="2"/>
        <v>18309.034809496461</v>
      </c>
      <c r="S13" s="1147">
        <f>S12*5</f>
        <v>425</v>
      </c>
    </row>
    <row r="14" spans="1:19">
      <c r="A14" s="1146"/>
      <c r="B14" s="627"/>
      <c r="C14" s="627"/>
      <c r="D14" s="1251"/>
      <c r="E14" s="1251"/>
      <c r="F14" s="1251"/>
      <c r="G14" s="1251"/>
      <c r="H14" s="1251"/>
      <c r="I14" s="1251"/>
      <c r="J14" s="1251"/>
      <c r="K14" s="1251"/>
      <c r="L14" s="1251"/>
      <c r="M14" s="1251"/>
      <c r="N14" s="1251"/>
      <c r="O14" s="1251"/>
      <c r="P14" s="1251"/>
    </row>
    <row r="15" spans="1:19">
      <c r="A15" s="1146"/>
      <c r="B15" s="627"/>
      <c r="C15" s="627"/>
      <c r="D15" s="627"/>
      <c r="E15" s="627"/>
      <c r="F15" s="1479" t="s">
        <v>2555</v>
      </c>
      <c r="G15" s="1200"/>
      <c r="H15" s="627"/>
      <c r="I15" s="627"/>
      <c r="J15" s="627"/>
      <c r="K15" s="627"/>
      <c r="L15" s="627"/>
      <c r="M15" s="627"/>
      <c r="N15" s="1200"/>
      <c r="O15" s="1200"/>
      <c r="P15" s="1200"/>
    </row>
    <row r="16" spans="1:19">
      <c r="A16" s="1146"/>
      <c r="B16" s="1392" t="s">
        <v>1003</v>
      </c>
      <c r="C16" s="1393" t="s">
        <v>331</v>
      </c>
      <c r="D16" s="1392" t="s">
        <v>425</v>
      </c>
      <c r="E16" s="1392" t="s">
        <v>1751</v>
      </c>
      <c r="F16" s="1392" t="s">
        <v>1752</v>
      </c>
      <c r="G16" s="1449"/>
      <c r="H16" s="1146"/>
      <c r="I16" s="1146"/>
      <c r="J16" s="1146"/>
      <c r="K16" s="1146"/>
      <c r="L16" s="1146"/>
      <c r="M16" s="1146"/>
      <c r="N16" s="1146"/>
      <c r="O16" s="1146"/>
      <c r="P16" s="1146"/>
    </row>
    <row r="17" spans="1:16" ht="28.5">
      <c r="A17" s="1146"/>
      <c r="B17" s="1392" t="s">
        <v>1003</v>
      </c>
      <c r="C17" s="1393" t="s">
        <v>331</v>
      </c>
      <c r="D17" s="1392" t="s">
        <v>425</v>
      </c>
      <c r="E17" s="1392" t="s">
        <v>1751</v>
      </c>
      <c r="F17" s="1392" t="s">
        <v>1752</v>
      </c>
      <c r="G17" s="1392" t="s">
        <v>2614</v>
      </c>
      <c r="H17" s="1392"/>
      <c r="I17" s="1392"/>
      <c r="J17" s="1146"/>
      <c r="K17" s="1146"/>
      <c r="L17" s="1146"/>
      <c r="M17" s="1146"/>
      <c r="N17" s="1146"/>
      <c r="O17" s="1146"/>
      <c r="P17" s="1146"/>
    </row>
    <row r="18" spans="1:16">
      <c r="A18" s="1146"/>
      <c r="B18" s="1391">
        <v>1</v>
      </c>
      <c r="C18" s="1389" t="s">
        <v>91</v>
      </c>
      <c r="D18" s="1390">
        <v>425.50335487411678</v>
      </c>
      <c r="E18" s="1390">
        <v>1042.3924</v>
      </c>
      <c r="F18" s="1390">
        <f>INDEX(Capex,3)</f>
        <v>1069.694815668485</v>
      </c>
      <c r="G18" s="1390">
        <f>INDEX(Capex,4)</f>
        <v>990.18327759898466</v>
      </c>
      <c r="H18" s="1390"/>
      <c r="I18" s="1390"/>
      <c r="J18" s="1146"/>
      <c r="K18" s="1146"/>
      <c r="L18" s="1146"/>
      <c r="M18" s="1146"/>
      <c r="N18" s="1146"/>
      <c r="O18" s="1146"/>
      <c r="P18" s="1146"/>
    </row>
    <row r="19" spans="1:16">
      <c r="A19" s="1146"/>
      <c r="B19" s="1391">
        <v>2</v>
      </c>
      <c r="C19" s="1389" t="s">
        <v>1750</v>
      </c>
      <c r="D19" s="1390">
        <v>166.96209999999999</v>
      </c>
      <c r="E19" s="1390">
        <v>477.55310059594171</v>
      </c>
      <c r="F19" s="1390">
        <f>INDEX(Capitalisation,3)</f>
        <v>1541.9595824335906</v>
      </c>
      <c r="G19" s="1390">
        <f>INDEX(Capitalisation,4)</f>
        <v>1446.3469219483711</v>
      </c>
      <c r="H19" s="1390"/>
      <c r="I19" s="1390"/>
      <c r="J19" s="1146"/>
      <c r="K19" s="1146"/>
      <c r="L19" s="1146"/>
      <c r="M19" s="1146"/>
      <c r="N19" s="1146"/>
      <c r="O19" s="1146"/>
      <c r="P19" s="1146"/>
    </row>
    <row r="20" spans="1:16">
      <c r="A20" s="1146"/>
      <c r="B20" s="1146"/>
      <c r="C20" s="1146"/>
      <c r="D20" s="1230"/>
      <c r="E20" s="1230"/>
      <c r="F20" s="1230"/>
      <c r="G20" s="1335"/>
      <c r="H20" s="1146"/>
      <c r="I20" s="1146"/>
      <c r="J20" s="1146"/>
      <c r="K20" s="1146"/>
      <c r="L20" s="1146"/>
      <c r="M20" s="1146"/>
      <c r="N20" s="1146"/>
      <c r="O20" s="1146"/>
      <c r="P20" s="1146"/>
    </row>
    <row r="21" spans="1:16">
      <c r="A21" s="1146"/>
      <c r="B21" s="1146"/>
      <c r="C21" s="1146"/>
      <c r="D21" s="1230"/>
      <c r="E21" s="1230"/>
      <c r="F21" s="1230"/>
      <c r="G21" s="1335"/>
      <c r="H21" s="1146"/>
      <c r="I21" s="1146"/>
      <c r="J21" s="1146"/>
      <c r="K21" s="1146"/>
      <c r="L21" s="1146"/>
      <c r="M21" s="1146"/>
      <c r="N21" s="1146"/>
      <c r="O21" s="1146"/>
      <c r="P21" s="1146"/>
    </row>
    <row r="22" spans="1:16">
      <c r="A22" s="1146"/>
      <c r="B22" s="1146"/>
      <c r="C22" s="1146"/>
      <c r="D22" s="1146"/>
      <c r="E22" s="1146"/>
      <c r="F22" s="1146"/>
      <c r="G22" s="1335"/>
      <c r="H22" s="1146"/>
      <c r="I22" s="1146"/>
      <c r="J22" s="1146"/>
      <c r="K22" s="1146"/>
      <c r="L22" s="1146"/>
      <c r="M22" s="1146"/>
      <c r="N22" s="1146"/>
      <c r="O22" s="1146"/>
      <c r="P22" s="1146"/>
    </row>
    <row r="23" spans="1:16">
      <c r="A23" s="1146"/>
      <c r="B23" s="1146"/>
      <c r="C23" s="1146"/>
      <c r="D23" s="1146"/>
      <c r="E23" s="1146"/>
      <c r="F23" s="1146"/>
      <c r="G23" s="1335"/>
      <c r="H23" s="1146"/>
      <c r="I23" s="1146"/>
      <c r="J23" s="1146"/>
      <c r="K23" s="1146"/>
      <c r="L23" s="1146"/>
      <c r="M23" s="1146"/>
      <c r="N23" s="1146"/>
      <c r="O23" s="1146"/>
      <c r="P23" s="1146"/>
    </row>
    <row r="24" spans="1:16">
      <c r="A24" s="1146"/>
      <c r="B24" s="1146"/>
      <c r="C24" s="1146"/>
      <c r="D24" s="1146"/>
      <c r="E24" s="1146"/>
      <c r="F24" s="1146"/>
      <c r="G24" s="1335"/>
      <c r="H24" s="1146"/>
      <c r="I24" s="1146"/>
      <c r="J24" s="1146"/>
      <c r="K24" s="1146"/>
      <c r="L24" s="1146"/>
      <c r="M24" s="1146"/>
      <c r="N24" s="1146"/>
      <c r="O24" s="1146"/>
      <c r="P24" s="1146"/>
    </row>
    <row r="25" spans="1:16">
      <c r="A25" s="1146"/>
      <c r="B25" s="1146"/>
      <c r="C25" s="1146"/>
      <c r="D25" s="1146"/>
      <c r="E25" s="1146"/>
      <c r="F25" s="1146"/>
      <c r="G25" s="1335"/>
      <c r="H25" s="1146"/>
      <c r="I25" s="1146"/>
      <c r="J25" s="1146"/>
      <c r="K25" s="1146"/>
      <c r="L25" s="1146"/>
      <c r="M25" s="1146"/>
      <c r="N25" s="1146"/>
      <c r="O25" s="1146"/>
      <c r="P25" s="1146"/>
    </row>
    <row r="26" spans="1:16">
      <c r="A26" s="1146"/>
      <c r="B26" s="1146"/>
      <c r="C26" s="1146"/>
      <c r="D26" s="1146"/>
      <c r="E26" s="1146"/>
      <c r="F26" s="1146"/>
      <c r="G26" s="1335"/>
      <c r="H26" s="1146"/>
      <c r="I26" s="1146"/>
      <c r="J26" s="1146"/>
      <c r="K26" s="1146"/>
      <c r="L26" s="1146"/>
      <c r="M26" s="1146"/>
      <c r="N26" s="1146"/>
      <c r="O26" s="1146"/>
      <c r="P26" s="1146"/>
    </row>
    <row r="27" spans="1:16">
      <c r="A27" s="1146"/>
      <c r="B27" s="1146"/>
      <c r="C27" s="1146"/>
      <c r="D27" s="1146"/>
      <c r="E27" s="1146"/>
      <c r="F27" s="1146"/>
      <c r="G27" s="1335"/>
      <c r="H27" s="1146"/>
      <c r="I27" s="1146"/>
      <c r="J27" s="1146"/>
      <c r="K27" s="1146"/>
      <c r="L27" s="1146"/>
      <c r="M27" s="1146"/>
      <c r="N27" s="1146"/>
      <c r="O27" s="1146"/>
      <c r="P27" s="1146"/>
    </row>
    <row r="28" spans="1:16">
      <c r="A28" s="1146"/>
      <c r="B28" s="1146"/>
      <c r="C28" s="1146"/>
      <c r="D28" s="1146"/>
      <c r="E28" s="1146"/>
      <c r="F28" s="1146"/>
      <c r="G28" s="1335"/>
      <c r="H28" s="1146"/>
      <c r="I28" s="1146"/>
      <c r="J28" s="1146"/>
      <c r="K28" s="1146"/>
      <c r="L28" s="1146"/>
      <c r="M28" s="1146"/>
      <c r="N28" s="1146"/>
      <c r="O28" s="1146"/>
      <c r="P28" s="1146"/>
    </row>
    <row r="29" spans="1:16">
      <c r="A29" s="1146"/>
      <c r="B29" s="1146"/>
      <c r="C29" s="1146"/>
      <c r="D29" s="1146"/>
      <c r="E29" s="1146"/>
      <c r="F29" s="1146"/>
      <c r="G29" s="1335"/>
      <c r="H29" s="1146"/>
      <c r="I29" s="1146"/>
      <c r="J29" s="1146"/>
      <c r="K29" s="1146"/>
      <c r="L29" s="1146"/>
      <c r="M29" s="1146"/>
      <c r="N29" s="1146"/>
      <c r="O29" s="1146"/>
      <c r="P29" s="1146"/>
    </row>
    <row r="30" spans="1:16">
      <c r="A30" s="1146"/>
      <c r="B30" s="1146"/>
      <c r="C30" s="1146"/>
      <c r="D30" s="1146"/>
      <c r="E30" s="1146"/>
      <c r="F30" s="1146"/>
      <c r="G30" s="1335"/>
      <c r="H30" s="1146"/>
      <c r="I30" s="1146"/>
      <c r="J30" s="1146"/>
      <c r="K30" s="1146"/>
      <c r="L30" s="1146"/>
      <c r="M30" s="1146"/>
      <c r="N30" s="1146"/>
      <c r="O30" s="1146"/>
      <c r="P30" s="1146"/>
    </row>
    <row r="31" spans="1:16">
      <c r="A31" s="1146"/>
      <c r="B31" s="1146"/>
      <c r="C31" s="1146"/>
      <c r="D31" s="1146"/>
      <c r="E31" s="1146"/>
      <c r="F31" s="1146"/>
      <c r="G31" s="1335"/>
      <c r="H31" s="1146"/>
      <c r="I31" s="1146"/>
      <c r="J31" s="1146"/>
      <c r="K31" s="1146"/>
      <c r="L31" s="1146"/>
      <c r="M31" s="1146"/>
      <c r="N31" s="1146"/>
      <c r="O31" s="1146"/>
      <c r="P31" s="1146"/>
    </row>
    <row r="32" spans="1:16">
      <c r="A32" s="1146"/>
      <c r="B32" s="1146"/>
      <c r="C32" s="1146"/>
      <c r="D32" s="1146"/>
      <c r="E32" s="1146"/>
      <c r="F32" s="1146"/>
      <c r="G32" s="1335"/>
      <c r="H32" s="1146"/>
      <c r="I32" s="1146"/>
      <c r="J32" s="1146"/>
      <c r="K32" s="1146"/>
      <c r="L32" s="1146"/>
      <c r="M32" s="1146"/>
      <c r="N32" s="1146"/>
      <c r="O32" s="1146"/>
      <c r="P32" s="1146"/>
    </row>
    <row r="33" spans="1:16">
      <c r="A33" s="1146"/>
      <c r="B33" s="1146"/>
      <c r="C33" s="1146"/>
      <c r="D33" s="1146"/>
      <c r="E33" s="1146"/>
      <c r="F33" s="1146"/>
      <c r="G33" s="1335"/>
      <c r="H33" s="1146"/>
      <c r="I33" s="1146"/>
      <c r="J33" s="1146"/>
      <c r="K33" s="1146"/>
      <c r="L33" s="1146"/>
      <c r="M33" s="1146"/>
      <c r="N33" s="1146"/>
      <c r="O33" s="1146"/>
      <c r="P33" s="1146"/>
    </row>
    <row r="34" spans="1:16">
      <c r="A34" s="1146"/>
      <c r="B34" s="1146"/>
      <c r="C34" s="1146"/>
      <c r="D34" s="1146"/>
      <c r="E34" s="1146"/>
      <c r="F34" s="1146"/>
      <c r="G34" s="1335"/>
      <c r="H34" s="1146"/>
      <c r="I34" s="1146"/>
      <c r="J34" s="1146"/>
      <c r="K34" s="1146"/>
      <c r="L34" s="1146"/>
      <c r="M34" s="1146"/>
      <c r="N34" s="1146"/>
      <c r="O34" s="1146"/>
      <c r="P34" s="1146"/>
    </row>
    <row r="35" spans="1:16">
      <c r="A35" s="1146"/>
      <c r="B35" s="1146"/>
      <c r="C35" s="1146"/>
      <c r="D35" s="1146"/>
      <c r="E35" s="1146"/>
      <c r="F35" s="1146"/>
      <c r="G35" s="1335"/>
      <c r="H35" s="1146"/>
      <c r="I35" s="1146"/>
      <c r="J35" s="1146"/>
      <c r="K35" s="1146"/>
      <c r="L35" s="1146"/>
      <c r="M35" s="1146"/>
      <c r="N35" s="1146"/>
      <c r="O35" s="1146"/>
      <c r="P35" s="1146"/>
    </row>
    <row r="36" spans="1:16">
      <c r="A36" s="1146"/>
      <c r="B36" s="1146"/>
      <c r="C36" s="1146"/>
      <c r="D36" s="1146"/>
      <c r="E36" s="1146"/>
      <c r="F36" s="1146"/>
      <c r="G36" s="1335"/>
      <c r="H36" s="1146"/>
      <c r="I36" s="1146"/>
      <c r="J36" s="1146"/>
      <c r="K36" s="1146"/>
      <c r="L36" s="1146"/>
      <c r="M36" s="1146"/>
      <c r="N36" s="1146"/>
      <c r="O36" s="1146"/>
      <c r="P36" s="1146"/>
    </row>
    <row r="37" spans="1:16">
      <c r="A37" s="1146"/>
      <c r="B37" s="1146"/>
      <c r="C37" s="1146"/>
      <c r="D37" s="1146"/>
      <c r="E37" s="1146"/>
      <c r="F37" s="1146"/>
      <c r="G37" s="1335"/>
      <c r="H37" s="1146"/>
      <c r="I37" s="1146"/>
      <c r="J37" s="1146"/>
      <c r="K37" s="1146"/>
      <c r="L37" s="1146"/>
      <c r="M37" s="1146"/>
      <c r="N37" s="1146"/>
      <c r="O37" s="1146"/>
      <c r="P37" s="1146"/>
    </row>
    <row r="38" spans="1:16">
      <c r="A38" s="1146"/>
      <c r="B38" s="1146"/>
      <c r="C38" s="1146"/>
      <c r="D38" s="1146"/>
      <c r="E38" s="1146"/>
      <c r="F38" s="1146"/>
      <c r="G38" s="1335"/>
      <c r="H38" s="1146"/>
      <c r="I38" s="1146"/>
      <c r="J38" s="1146"/>
      <c r="K38" s="1146"/>
      <c r="L38" s="1146"/>
      <c r="M38" s="1146"/>
      <c r="N38" s="1146"/>
      <c r="O38" s="1146"/>
      <c r="P38" s="1146"/>
    </row>
    <row r="39" spans="1:16">
      <c r="A39" s="1146"/>
      <c r="B39" s="1146"/>
      <c r="C39" s="1146"/>
      <c r="D39" s="1146"/>
      <c r="E39" s="1146"/>
      <c r="F39" s="1146"/>
      <c r="G39" s="1335"/>
      <c r="H39" s="1146"/>
      <c r="I39" s="1146"/>
      <c r="J39" s="1146"/>
      <c r="K39" s="1146"/>
      <c r="L39" s="1146"/>
      <c r="M39" s="1146"/>
      <c r="N39" s="1146"/>
      <c r="O39" s="1146"/>
      <c r="P39" s="1146"/>
    </row>
    <row r="40" spans="1:16">
      <c r="A40" s="1146"/>
      <c r="B40" s="1146"/>
      <c r="C40" s="1146"/>
      <c r="D40" s="1146"/>
      <c r="E40" s="1146"/>
      <c r="F40" s="1146"/>
      <c r="G40" s="1335"/>
      <c r="H40" s="1146"/>
      <c r="I40" s="1146"/>
      <c r="J40" s="1146"/>
      <c r="K40" s="1146"/>
      <c r="L40" s="1146"/>
      <c r="M40" s="1146"/>
      <c r="N40" s="1146"/>
      <c r="O40" s="1146"/>
      <c r="P40" s="1146"/>
    </row>
    <row r="41" spans="1:16">
      <c r="A41" s="1146"/>
      <c r="B41" s="1146"/>
      <c r="C41" s="1146"/>
      <c r="D41" s="1146"/>
      <c r="E41" s="1146"/>
      <c r="F41" s="1146"/>
      <c r="G41" s="1335"/>
      <c r="H41" s="1146"/>
      <c r="I41" s="1146"/>
      <c r="J41" s="1146"/>
      <c r="K41" s="1146"/>
      <c r="L41" s="1146"/>
      <c r="M41" s="1146"/>
      <c r="N41" s="1146"/>
      <c r="O41" s="1146"/>
      <c r="P41" s="1146"/>
    </row>
    <row r="42" spans="1:16">
      <c r="A42" s="1146"/>
      <c r="B42" s="1146"/>
      <c r="C42" s="1146"/>
      <c r="D42" s="1146"/>
      <c r="E42" s="1146"/>
      <c r="F42" s="1146"/>
      <c r="G42" s="1335"/>
      <c r="H42" s="1146"/>
      <c r="I42" s="1146"/>
      <c r="J42" s="1146"/>
      <c r="K42" s="1146"/>
      <c r="L42" s="1146"/>
      <c r="M42" s="1146"/>
      <c r="N42" s="1146"/>
      <c r="O42" s="1146"/>
      <c r="P42" s="1146"/>
    </row>
    <row r="43" spans="1:16">
      <c r="A43" s="1146"/>
      <c r="B43" s="1146"/>
      <c r="C43" s="1146"/>
      <c r="D43" s="1146"/>
      <c r="E43" s="1146"/>
      <c r="F43" s="1146"/>
      <c r="G43" s="1335"/>
      <c r="H43" s="1146"/>
      <c r="I43" s="1146"/>
      <c r="J43" s="1146"/>
      <c r="K43" s="1146"/>
      <c r="L43" s="1146"/>
      <c r="M43" s="1146"/>
      <c r="N43" s="1146"/>
      <c r="O43" s="1146"/>
      <c r="P43" s="1146"/>
    </row>
    <row r="44" spans="1:16">
      <c r="A44" s="1146"/>
      <c r="B44" s="1146"/>
      <c r="C44" s="1146"/>
      <c r="D44" s="1146"/>
      <c r="E44" s="1146"/>
      <c r="F44" s="1146"/>
      <c r="G44" s="1335"/>
      <c r="H44" s="1146"/>
      <c r="I44" s="1146"/>
      <c r="J44" s="1146"/>
      <c r="K44" s="1146"/>
      <c r="L44" s="1146"/>
      <c r="M44" s="1146"/>
      <c r="N44" s="1146"/>
      <c r="O44" s="1146"/>
      <c r="P44" s="1146"/>
    </row>
    <row r="45" spans="1:16">
      <c r="A45" s="1146"/>
      <c r="B45" s="1146"/>
      <c r="C45" s="1146"/>
      <c r="D45" s="1146"/>
      <c r="E45" s="1146"/>
      <c r="F45" s="1146"/>
      <c r="G45" s="1335"/>
      <c r="H45" s="1146"/>
      <c r="I45" s="1146"/>
      <c r="J45" s="1146"/>
      <c r="K45" s="1146"/>
      <c r="L45" s="1146"/>
      <c r="M45" s="1146"/>
      <c r="N45" s="1146"/>
      <c r="O45" s="1146"/>
      <c r="P45" s="1146"/>
    </row>
    <row r="46" spans="1:16">
      <c r="A46" s="1146"/>
      <c r="B46" s="1146"/>
      <c r="C46" s="1146"/>
      <c r="D46" s="1146"/>
      <c r="E46" s="1146"/>
      <c r="F46" s="1146"/>
      <c r="G46" s="1335"/>
      <c r="H46" s="1146"/>
      <c r="I46" s="1146"/>
      <c r="J46" s="1146"/>
      <c r="K46" s="1146"/>
      <c r="L46" s="1146"/>
      <c r="M46" s="1146"/>
      <c r="N46" s="1146"/>
      <c r="O46" s="1146"/>
      <c r="P46" s="1146"/>
    </row>
    <row r="47" spans="1:16">
      <c r="A47" s="1146"/>
      <c r="B47" s="1146"/>
      <c r="C47" s="1146"/>
      <c r="D47" s="1146"/>
      <c r="E47" s="1146"/>
      <c r="F47" s="1146"/>
      <c r="G47" s="1335"/>
      <c r="H47" s="1146"/>
      <c r="I47" s="1146"/>
      <c r="J47" s="1146"/>
      <c r="K47" s="1146"/>
      <c r="L47" s="1146"/>
      <c r="M47" s="1146"/>
      <c r="N47" s="1146"/>
      <c r="O47" s="1146"/>
      <c r="P47" s="1146"/>
    </row>
    <row r="48" spans="1:16">
      <c r="A48" s="1146"/>
      <c r="B48" s="1146"/>
      <c r="C48" s="1146"/>
      <c r="D48" s="1146"/>
      <c r="E48" s="1146"/>
      <c r="F48" s="1146"/>
      <c r="G48" s="1335"/>
      <c r="H48" s="1146"/>
      <c r="I48" s="1146"/>
      <c r="J48" s="1146"/>
      <c r="K48" s="1146"/>
      <c r="L48" s="1146"/>
      <c r="M48" s="1146"/>
      <c r="N48" s="1146"/>
      <c r="O48" s="1146"/>
      <c r="P48" s="1146"/>
    </row>
    <row r="49" spans="1:16">
      <c r="A49" s="1146"/>
      <c r="B49" s="1146"/>
      <c r="C49" s="1146"/>
      <c r="D49" s="1146"/>
      <c r="E49" s="1146"/>
      <c r="F49" s="1146"/>
      <c r="G49" s="1335"/>
      <c r="H49" s="1146"/>
      <c r="I49" s="1146"/>
      <c r="J49" s="1146"/>
      <c r="K49" s="1146"/>
      <c r="L49" s="1146"/>
      <c r="M49" s="1146"/>
      <c r="N49" s="1146"/>
      <c r="O49" s="1146"/>
      <c r="P49" s="1146"/>
    </row>
    <row r="50" spans="1:16">
      <c r="A50" s="1146"/>
      <c r="B50" s="1146"/>
      <c r="C50" s="1146"/>
      <c r="D50" s="1146"/>
      <c r="E50" s="1146"/>
      <c r="F50" s="1146"/>
      <c r="G50" s="1335"/>
      <c r="H50" s="1146"/>
      <c r="I50" s="1146"/>
      <c r="J50" s="1146"/>
      <c r="K50" s="1146"/>
      <c r="L50" s="1146"/>
      <c r="M50" s="1146"/>
      <c r="N50" s="1146"/>
      <c r="O50" s="1146"/>
      <c r="P50" s="1146"/>
    </row>
    <row r="51" spans="1:16">
      <c r="A51" s="1146"/>
      <c r="B51" s="1146"/>
      <c r="C51" s="1146"/>
      <c r="D51" s="1146"/>
      <c r="E51" s="1146"/>
      <c r="F51" s="1146"/>
      <c r="G51" s="1335"/>
      <c r="H51" s="1146"/>
      <c r="I51" s="1146"/>
      <c r="J51" s="1146"/>
      <c r="K51" s="1146"/>
      <c r="L51" s="1146"/>
      <c r="M51" s="1146"/>
      <c r="N51" s="1146"/>
      <c r="O51" s="1146"/>
      <c r="P51" s="1146"/>
    </row>
    <row r="52" spans="1:16">
      <c r="A52" s="1146"/>
      <c r="B52" s="1146"/>
      <c r="C52" s="1146"/>
      <c r="D52" s="1146"/>
      <c r="E52" s="1146"/>
      <c r="F52" s="1146"/>
      <c r="G52" s="1335"/>
      <c r="H52" s="1146"/>
      <c r="I52" s="1146"/>
      <c r="J52" s="1146"/>
      <c r="K52" s="1146"/>
      <c r="L52" s="1146"/>
      <c r="M52" s="1146"/>
      <c r="N52" s="1146"/>
      <c r="O52" s="1146"/>
      <c r="P52" s="1146"/>
    </row>
    <row r="53" spans="1:16">
      <c r="A53" s="1146"/>
      <c r="B53" s="1146"/>
      <c r="C53" s="1146"/>
      <c r="D53" s="1146"/>
      <c r="E53" s="1146"/>
      <c r="F53" s="1146"/>
      <c r="G53" s="1335"/>
      <c r="H53" s="1146"/>
      <c r="I53" s="1146"/>
      <c r="J53" s="1146"/>
      <c r="K53" s="1146"/>
      <c r="L53" s="1146"/>
      <c r="M53" s="1146"/>
      <c r="N53" s="1146"/>
      <c r="O53" s="1146"/>
      <c r="P53" s="1146"/>
    </row>
    <row r="54" spans="1:16">
      <c r="A54" s="1146"/>
      <c r="B54" s="1146"/>
      <c r="C54" s="1146"/>
      <c r="D54" s="1146"/>
      <c r="E54" s="1146"/>
      <c r="F54" s="1146"/>
      <c r="G54" s="1335"/>
      <c r="H54" s="1146"/>
      <c r="I54" s="1146"/>
      <c r="J54" s="1146"/>
      <c r="K54" s="1146"/>
      <c r="L54" s="1146"/>
      <c r="M54" s="1146"/>
      <c r="N54" s="1146"/>
      <c r="O54" s="1146"/>
      <c r="P54" s="1146"/>
    </row>
    <row r="55" spans="1:16">
      <c r="A55" s="1146"/>
      <c r="B55" s="1146"/>
      <c r="C55" s="1146"/>
      <c r="D55" s="1146"/>
      <c r="E55" s="1146"/>
      <c r="F55" s="1146"/>
      <c r="G55" s="1335"/>
      <c r="H55" s="1146"/>
      <c r="I55" s="1146"/>
      <c r="J55" s="1146"/>
      <c r="K55" s="1146"/>
      <c r="L55" s="1146"/>
      <c r="M55" s="1146"/>
      <c r="N55" s="1146"/>
      <c r="O55" s="1146"/>
      <c r="P55" s="1146"/>
    </row>
    <row r="56" spans="1:16">
      <c r="A56" s="1146"/>
      <c r="B56" s="1146"/>
      <c r="C56" s="1146"/>
      <c r="D56" s="1146"/>
      <c r="E56" s="1146"/>
      <c r="F56" s="1146"/>
      <c r="G56" s="1335"/>
      <c r="H56" s="1146"/>
      <c r="I56" s="1146"/>
      <c r="J56" s="1146"/>
      <c r="K56" s="1146"/>
      <c r="L56" s="1146"/>
      <c r="M56" s="1146"/>
      <c r="N56" s="1146"/>
      <c r="O56" s="1146"/>
      <c r="P56" s="1146"/>
    </row>
    <row r="57" spans="1:16">
      <c r="A57" s="1146"/>
      <c r="B57" s="1146"/>
      <c r="C57" s="1146"/>
      <c r="D57" s="1146"/>
      <c r="E57" s="1146"/>
      <c r="F57" s="1146"/>
      <c r="G57" s="1335"/>
      <c r="H57" s="1146"/>
      <c r="I57" s="1146"/>
      <c r="J57" s="1146"/>
      <c r="K57" s="1146"/>
      <c r="L57" s="1146"/>
      <c r="M57" s="1146"/>
      <c r="N57" s="1146"/>
      <c r="O57" s="1146"/>
      <c r="P57" s="1146"/>
    </row>
    <row r="58" spans="1:16">
      <c r="A58" s="1146"/>
      <c r="B58" s="1146"/>
      <c r="C58" s="1146"/>
      <c r="D58" s="1146"/>
      <c r="E58" s="1146"/>
      <c r="F58" s="1146"/>
      <c r="G58" s="1335"/>
      <c r="H58" s="1146"/>
      <c r="I58" s="1146"/>
      <c r="J58" s="1146"/>
      <c r="K58" s="1146"/>
      <c r="L58" s="1146"/>
      <c r="M58" s="1146"/>
      <c r="N58" s="1146"/>
      <c r="O58" s="1146"/>
      <c r="P58" s="1146"/>
    </row>
    <row r="59" spans="1:16">
      <c r="A59" s="1146"/>
      <c r="B59" s="1146"/>
      <c r="C59" s="1146"/>
      <c r="D59" s="1146"/>
      <c r="E59" s="1146"/>
      <c r="F59" s="1146"/>
      <c r="G59" s="1335"/>
      <c r="H59" s="1146"/>
      <c r="I59" s="1146"/>
      <c r="J59" s="1146"/>
      <c r="K59" s="1146"/>
      <c r="L59" s="1146"/>
      <c r="M59" s="1146"/>
      <c r="N59" s="1146"/>
      <c r="O59" s="1146"/>
      <c r="P59" s="1146"/>
    </row>
    <row r="60" spans="1:16">
      <c r="A60" s="1146"/>
      <c r="B60" s="1146"/>
      <c r="C60" s="1146"/>
      <c r="D60" s="1146"/>
      <c r="E60" s="1146"/>
      <c r="F60" s="1146"/>
      <c r="G60" s="1335"/>
      <c r="H60" s="1146"/>
      <c r="I60" s="1146"/>
      <c r="J60" s="1146"/>
      <c r="K60" s="1146"/>
      <c r="L60" s="1146"/>
      <c r="M60" s="1146"/>
      <c r="N60" s="1146"/>
      <c r="O60" s="1146"/>
      <c r="P60" s="1146"/>
    </row>
    <row r="61" spans="1:16">
      <c r="A61" s="1146"/>
      <c r="B61" s="1146"/>
      <c r="C61" s="1146"/>
      <c r="D61" s="1146"/>
      <c r="E61" s="1146"/>
      <c r="F61" s="1146"/>
      <c r="G61" s="1335"/>
      <c r="H61" s="1146"/>
      <c r="I61" s="1146"/>
      <c r="J61" s="1146"/>
      <c r="K61" s="1146"/>
      <c r="L61" s="1146"/>
      <c r="M61" s="1146"/>
      <c r="N61" s="1146"/>
      <c r="O61" s="1146"/>
      <c r="P61" s="1146"/>
    </row>
  </sheetData>
  <pageMargins left="0.7" right="0.7" top="0.75" bottom="0.75" header="0.3" footer="0.3"/>
  <pageSetup paperSize="9" scale="53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87</vt:i4>
      </vt:variant>
      <vt:variant>
        <vt:lpstr>Named Ranges</vt:lpstr>
      </vt:variant>
      <vt:variant>
        <vt:i4>55</vt:i4>
      </vt:variant>
    </vt:vector>
  </HeadingPairs>
  <TitlesOfParts>
    <vt:vector size="142" baseType="lpstr">
      <vt:lpstr>New employee projec</vt:lpstr>
      <vt:lpstr>New recruitment Status</vt:lpstr>
      <vt:lpstr>combined</vt:lpstr>
      <vt:lpstr>Transmission</vt:lpstr>
      <vt:lpstr>Index</vt:lpstr>
      <vt:lpstr>transmission Charges</vt:lpstr>
      <vt:lpstr>Control Sheet</vt:lpstr>
      <vt:lpstr>CB&amp;R</vt:lpstr>
      <vt:lpstr>Capex Summary sheet</vt:lpstr>
      <vt:lpstr>ARR</vt:lpstr>
      <vt:lpstr>ARR (SLDC)</vt:lpstr>
      <vt:lpstr>F1SLDC</vt:lpstr>
      <vt:lpstr>F15 SLDC</vt:lpstr>
      <vt:lpstr>F1R</vt:lpstr>
      <vt:lpstr>F1</vt:lpstr>
      <vt:lpstr>F1(a)</vt:lpstr>
      <vt:lpstr>F4</vt:lpstr>
      <vt:lpstr>F5</vt:lpstr>
      <vt:lpstr>F8</vt:lpstr>
      <vt:lpstr>F9R</vt:lpstr>
      <vt:lpstr>F9</vt:lpstr>
      <vt:lpstr>F11</vt:lpstr>
      <vt:lpstr>F12 </vt:lpstr>
      <vt:lpstr>F14</vt:lpstr>
      <vt:lpstr>F15</vt:lpstr>
      <vt:lpstr>F15R</vt:lpstr>
      <vt:lpstr>F16 R</vt:lpstr>
      <vt:lpstr>F16</vt:lpstr>
      <vt:lpstr>F17</vt:lpstr>
      <vt:lpstr>F18</vt:lpstr>
      <vt:lpstr>F19</vt:lpstr>
      <vt:lpstr>F20</vt:lpstr>
      <vt:lpstr>F20 R</vt:lpstr>
      <vt:lpstr>F21</vt:lpstr>
      <vt:lpstr>F21 R</vt:lpstr>
      <vt:lpstr>F21 detailed</vt:lpstr>
      <vt:lpstr>F21 detailed R</vt:lpstr>
      <vt:lpstr>F22</vt:lpstr>
      <vt:lpstr>F23</vt:lpstr>
      <vt:lpstr>F24</vt:lpstr>
      <vt:lpstr>F24 R</vt:lpstr>
      <vt:lpstr>Funding Pattern</vt:lpstr>
      <vt:lpstr>Data_TL_consolidated</vt:lpstr>
      <vt:lpstr>Revised data_Sub-stations</vt:lpstr>
      <vt:lpstr>Backup data</vt:lpstr>
      <vt:lpstr>Tx. Charges</vt:lpstr>
      <vt:lpstr>TransmissionLines-Addition</vt:lpstr>
      <vt:lpstr>F10</vt:lpstr>
      <vt:lpstr>O &amp; M Expenses</vt:lpstr>
      <vt:lpstr>19.11.2011 data Trns.ines</vt:lpstr>
      <vt:lpstr>F9_data_A &amp; R</vt:lpstr>
      <vt:lpstr>Data_TL</vt:lpstr>
      <vt:lpstr>TL_FY11</vt:lpstr>
      <vt:lpstr>Data_ Substations</vt:lpstr>
      <vt:lpstr>FY 17_Circuit KM_data_TL</vt:lpstr>
      <vt:lpstr>F18_data_revised_SS</vt:lpstr>
      <vt:lpstr>Commissioning Details</vt:lpstr>
      <vt:lpstr>F18_data_P &amp; M</vt:lpstr>
      <vt:lpstr>F19_data_revised_SS</vt:lpstr>
      <vt:lpstr>F19_data_P &amp; M</vt:lpstr>
      <vt:lpstr>Data_Loan_PSTCL</vt:lpstr>
      <vt:lpstr>LIC</vt:lpstr>
      <vt:lpstr>OBC</vt:lpstr>
      <vt:lpstr>Annual_RECLoan</vt:lpstr>
      <vt:lpstr>Transco_RECLOAN</vt:lpstr>
      <vt:lpstr>REC-M</vt:lpstr>
      <vt:lpstr>REC-Q</vt:lpstr>
      <vt:lpstr>REC-Y</vt:lpstr>
      <vt:lpstr>EQI</vt:lpstr>
      <vt:lpstr>Monthly</vt:lpstr>
      <vt:lpstr>SBOP-MTL</vt:lpstr>
      <vt:lpstr>STL</vt:lpstr>
      <vt:lpstr>F22_data_P &amp; M</vt:lpstr>
      <vt:lpstr>Capex-FY 11</vt:lpstr>
      <vt:lpstr>Capex-FY 12-H1</vt:lpstr>
      <vt:lpstr>Capex-FY 12-H2</vt:lpstr>
      <vt:lpstr>Capex-FY 13</vt:lpstr>
      <vt:lpstr>Capex</vt:lpstr>
      <vt:lpstr>Annexure A-last Petition</vt:lpstr>
      <vt:lpstr>Annexure B-last Petition</vt:lpstr>
      <vt:lpstr>SLDC ARR</vt:lpstr>
      <vt:lpstr>SLDC charges</vt:lpstr>
      <vt:lpstr>Calculation of Revenue Gap</vt:lpstr>
      <vt:lpstr>Schedules of Accounts</vt:lpstr>
      <vt:lpstr>O&amp;M Expenses as per Amended Reg</vt:lpstr>
      <vt:lpstr>Tariff For FY 14</vt:lpstr>
      <vt:lpstr>Sheet1</vt:lpstr>
      <vt:lpstr>Capex</vt:lpstr>
      <vt:lpstr>Capitalisation</vt:lpstr>
      <vt:lpstr>Inflation</vt:lpstr>
      <vt:lpstr>Interest_Rate_for_REC</vt:lpstr>
      <vt:lpstr>'Annexure A-last Petition'!Print_Area</vt:lpstr>
      <vt:lpstr>'Annexure B-last Petition'!Print_Area</vt:lpstr>
      <vt:lpstr>ARR!Print_Area</vt:lpstr>
      <vt:lpstr>'ARR (SLDC)'!Print_Area</vt:lpstr>
      <vt:lpstr>'Capex Summary sheet'!Print_Area</vt:lpstr>
      <vt:lpstr>Data_TL_consolidated!Print_Area</vt:lpstr>
      <vt:lpstr>'F1'!Print_Area</vt:lpstr>
      <vt:lpstr>'F1(a)'!Print_Area</vt:lpstr>
      <vt:lpstr>'F11'!Print_Area</vt:lpstr>
      <vt:lpstr>'F12 '!Print_Area</vt:lpstr>
      <vt:lpstr>'F14'!Print_Area</vt:lpstr>
      <vt:lpstr>'F15'!Print_Area</vt:lpstr>
      <vt:lpstr>'F15 SLDC'!Print_Area</vt:lpstr>
      <vt:lpstr>F15R!Print_Area</vt:lpstr>
      <vt:lpstr>'F16'!Print_Area</vt:lpstr>
      <vt:lpstr>'F16 R'!Print_Area</vt:lpstr>
      <vt:lpstr>'F17'!Print_Area</vt:lpstr>
      <vt:lpstr>'F18'!Print_Area</vt:lpstr>
      <vt:lpstr>'F18_data_P &amp; M'!Print_Area</vt:lpstr>
      <vt:lpstr>'F19'!Print_Area</vt:lpstr>
      <vt:lpstr>F1R!Print_Area</vt:lpstr>
      <vt:lpstr>F1SLDC!Print_Area</vt:lpstr>
      <vt:lpstr>'F20'!Print_Area</vt:lpstr>
      <vt:lpstr>'F20 R'!Print_Area</vt:lpstr>
      <vt:lpstr>'F21'!Print_Area</vt:lpstr>
      <vt:lpstr>'F21 detailed'!Print_Area</vt:lpstr>
      <vt:lpstr>'F21 detailed R'!Print_Area</vt:lpstr>
      <vt:lpstr>'F21 R'!Print_Area</vt:lpstr>
      <vt:lpstr>'F22'!Print_Area</vt:lpstr>
      <vt:lpstr>'F22_data_P &amp; M'!Print_Area</vt:lpstr>
      <vt:lpstr>'F23'!Print_Area</vt:lpstr>
      <vt:lpstr>'F24'!Print_Area</vt:lpstr>
      <vt:lpstr>'F24 R'!Print_Area</vt:lpstr>
      <vt:lpstr>'F4'!Print_Area</vt:lpstr>
      <vt:lpstr>'F5'!Print_Area</vt:lpstr>
      <vt:lpstr>'F8'!Print_Area</vt:lpstr>
      <vt:lpstr>'F9'!Print_Area</vt:lpstr>
      <vt:lpstr>F9R!Print_Area</vt:lpstr>
      <vt:lpstr>'Funding Pattern'!Print_Area</vt:lpstr>
      <vt:lpstr>Index!Print_Area</vt:lpstr>
      <vt:lpstr>'New employee projec'!Print_Area</vt:lpstr>
      <vt:lpstr>'Revised data_Sub-stations'!Print_Area</vt:lpstr>
      <vt:lpstr>'SLDC ARR'!Print_Area</vt:lpstr>
      <vt:lpstr>'SLDC charges'!Print_Area</vt:lpstr>
      <vt:lpstr>'Annexure A-last Petition'!Print_Titles</vt:lpstr>
      <vt:lpstr>'Annexure B-last Petition'!Print_Titles</vt:lpstr>
      <vt:lpstr>Data_TL_consolidated!Print_Titles</vt:lpstr>
      <vt:lpstr>'Revised data_Sub-stations'!Print_Titles</vt:lpstr>
      <vt:lpstr>RoE</vt:lpstr>
      <vt:lpstr>SBI_PLR</vt:lpstr>
      <vt:lpstr>Tax_rate</vt:lpstr>
    </vt:vector>
  </TitlesOfParts>
  <Company>crisil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mankiratp</dc:creator>
  <cp:lastModifiedBy>pstcl</cp:lastModifiedBy>
  <cp:lastPrinted>2013-01-08T04:12:46Z</cp:lastPrinted>
  <dcterms:created xsi:type="dcterms:W3CDTF">2010-09-29T07:45:31Z</dcterms:created>
  <dcterms:modified xsi:type="dcterms:W3CDTF">2013-01-09T06:44:55Z</dcterms:modified>
</cp:coreProperties>
</file>